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9\Tabeller til nedlastning\"/>
    </mc:Choice>
  </mc:AlternateContent>
  <bookViews>
    <workbookView xWindow="0" yWindow="0" windowWidth="38400" windowHeight="17085" firstSheet="1" activeTab="1"/>
  </bookViews>
  <sheets>
    <sheet name="2.Vedtatte endringer i bystyre" sheetId="3" state="hidden" r:id="rId1"/>
    <sheet name="Skjema 2B investeringer" sheetId="22" r:id="rId2"/>
    <sheet name="Nye tiltak" sheetId="21" state="hidden" r:id="rId3"/>
    <sheet name="1.Rådmannens forslag" sheetId="2" state="hidden" r:id="rId4"/>
    <sheet name="Div.bygg og inv." sheetId="14" state="hidden" r:id="rId5"/>
    <sheet name="Levekår &amp; bolig KF" sheetId="7" state="hidden" r:id="rId6"/>
    <sheet name="Skole" sheetId="8" state="hidden" r:id="rId7"/>
    <sheet name="Barnehage" sheetId="9" state="hidden" r:id="rId8"/>
    <sheet name="Idrett" sheetId="13" state="hidden" r:id="rId9"/>
    <sheet name="Prak og vei" sheetId="12" state="hidden" r:id="rId10"/>
    <sheet name="VAR" sheetId="10" state="hidden" r:id="rId11"/>
    <sheet name="Kirkelig.fellesråd" sheetId="16" state="hidden" r:id="rId12"/>
    <sheet name="Bolig bygg KF" sheetId="5" state="hidden" r:id="rId13"/>
    <sheet name="SU-KF" sheetId="6" state="hidden" r:id="rId14"/>
    <sheet name="SU KF" sheetId="18" state="hidden" r:id="rId15"/>
    <sheet name="Endringer" sheetId="19" state="hidden" r:id="rId16"/>
    <sheet name="Ikke innarbeidet" sheetId="20" state="hidden" r:id="rId17"/>
  </sheets>
  <definedNames>
    <definedName name="_xlnm.Print_Area" localSheetId="3">'1.Rådmannens forslag'!$B$2:$J$203</definedName>
    <definedName name="_xlnm.Print_Area" localSheetId="1">'Skjema 2B investeringer'!$B:$H</definedName>
    <definedName name="_xlnm.Print_Titles" localSheetId="3">'1.Rådmannens forslag'!$1:$1</definedName>
  </definedNames>
  <calcPr calcId="171027" concurrentCalc="0"/>
</workbook>
</file>

<file path=xl/calcChain.xml><?xml version="1.0" encoding="utf-8"?>
<calcChain xmlns="http://schemas.openxmlformats.org/spreadsheetml/2006/main">
  <c r="H26" i="21" l="1"/>
  <c r="H27" i="21"/>
  <c r="H28" i="21"/>
  <c r="H29" i="21"/>
  <c r="H25" i="21"/>
  <c r="E30" i="21"/>
  <c r="D30" i="21"/>
  <c r="C30" i="21"/>
  <c r="G23" i="21"/>
  <c r="F23" i="21"/>
  <c r="E23" i="21"/>
  <c r="D23" i="21"/>
  <c r="C23" i="21"/>
  <c r="H22" i="21"/>
  <c r="H21" i="21"/>
  <c r="H20" i="21"/>
  <c r="H19" i="21"/>
  <c r="G17" i="21"/>
  <c r="F17" i="21"/>
  <c r="E17" i="21"/>
  <c r="D17" i="21"/>
  <c r="C17" i="21"/>
  <c r="H16" i="21"/>
  <c r="H15" i="21"/>
  <c r="H14" i="21"/>
  <c r="H13" i="21"/>
  <c r="G11" i="21"/>
  <c r="F11" i="21"/>
  <c r="E11" i="21"/>
  <c r="D11" i="21"/>
  <c r="C11" i="21"/>
  <c r="H10" i="21"/>
  <c r="H9" i="21"/>
  <c r="H8" i="21"/>
  <c r="H7" i="21"/>
  <c r="H6" i="21"/>
  <c r="H5" i="21"/>
  <c r="H30" i="21"/>
  <c r="H17" i="21"/>
  <c r="H23" i="21"/>
  <c r="H11" i="21"/>
  <c r="H16" i="9"/>
  <c r="G16" i="9"/>
  <c r="F16" i="9"/>
  <c r="E16" i="9"/>
  <c r="H11" i="18"/>
  <c r="G11" i="18"/>
  <c r="F11" i="18"/>
  <c r="E11" i="18"/>
  <c r="D2" i="18"/>
  <c r="I9" i="6"/>
  <c r="H9" i="6"/>
  <c r="G9" i="6"/>
  <c r="F9" i="6"/>
  <c r="E9" i="6"/>
  <c r="J12" i="5"/>
  <c r="I12" i="5"/>
  <c r="H12" i="5"/>
  <c r="G12" i="5"/>
  <c r="F12" i="5"/>
  <c r="D12" i="5"/>
  <c r="H13" i="16"/>
  <c r="G13" i="16"/>
  <c r="F13" i="16"/>
  <c r="E13" i="16"/>
  <c r="D2" i="16"/>
  <c r="H37" i="10"/>
  <c r="G37" i="10"/>
  <c r="F37" i="10"/>
  <c r="E37" i="10"/>
  <c r="H31" i="10"/>
  <c r="G31" i="10"/>
  <c r="F31" i="10"/>
  <c r="E31" i="10"/>
  <c r="H16" i="10"/>
  <c r="G16" i="10"/>
  <c r="F16" i="10"/>
  <c r="E16" i="10"/>
  <c r="D2" i="10"/>
  <c r="H30" i="12"/>
  <c r="G30" i="12"/>
  <c r="F30" i="12"/>
  <c r="E30" i="12"/>
  <c r="D2" i="12"/>
  <c r="H18" i="13"/>
  <c r="G18" i="13"/>
  <c r="F18" i="13"/>
  <c r="E18" i="13"/>
  <c r="D2" i="13"/>
  <c r="H21" i="8"/>
  <c r="G21" i="8"/>
  <c r="F21" i="8"/>
  <c r="E21" i="8"/>
  <c r="H37" i="7"/>
  <c r="G37" i="7"/>
  <c r="F37" i="7"/>
  <c r="E37" i="7"/>
  <c r="H34" i="7"/>
  <c r="G34" i="7"/>
  <c r="F34" i="7"/>
  <c r="E34" i="7"/>
  <c r="H19" i="7"/>
  <c r="G19" i="7"/>
  <c r="F19" i="7"/>
  <c r="E19" i="7"/>
  <c r="D2" i="7"/>
  <c r="H23" i="14"/>
  <c r="G23" i="14"/>
  <c r="F23" i="14"/>
  <c r="E23" i="14"/>
  <c r="D2" i="14"/>
  <c r="D203" i="2"/>
  <c r="D201" i="2"/>
  <c r="D200" i="2"/>
  <c r="J196" i="2"/>
  <c r="I196" i="2"/>
  <c r="H196" i="2"/>
  <c r="G196" i="2"/>
  <c r="J195" i="2"/>
  <c r="I195" i="2"/>
  <c r="H195" i="2"/>
  <c r="G195" i="2"/>
  <c r="J194" i="2"/>
  <c r="I194" i="2"/>
  <c r="H194" i="2"/>
  <c r="G194" i="2"/>
  <c r="J193" i="2"/>
  <c r="I193" i="2"/>
  <c r="H193" i="2"/>
  <c r="G193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H176" i="2"/>
  <c r="B176" i="2"/>
  <c r="B175" i="2"/>
  <c r="B174" i="2"/>
  <c r="B173" i="2"/>
  <c r="B172" i="2"/>
  <c r="J171" i="2"/>
  <c r="B171" i="2"/>
  <c r="J170" i="2"/>
  <c r="I170" i="2"/>
  <c r="H170" i="2"/>
  <c r="G170" i="2"/>
  <c r="B170" i="2"/>
  <c r="F169" i="2"/>
  <c r="B169" i="2"/>
  <c r="J167" i="2"/>
  <c r="I167" i="2"/>
  <c r="H167" i="2"/>
  <c r="G167" i="2"/>
  <c r="F167" i="2"/>
  <c r="D167" i="2"/>
  <c r="J165" i="2"/>
  <c r="I165" i="2"/>
  <c r="H165" i="2"/>
  <c r="G165" i="2"/>
  <c r="F165" i="2"/>
  <c r="D165" i="2"/>
  <c r="B164" i="2"/>
  <c r="B163" i="2"/>
  <c r="B162" i="2"/>
  <c r="B161" i="2"/>
  <c r="B160" i="2"/>
  <c r="B159" i="2"/>
  <c r="J158" i="2"/>
  <c r="F158" i="2"/>
  <c r="B158" i="2"/>
  <c r="J156" i="2"/>
  <c r="I156" i="2"/>
  <c r="H156" i="2"/>
  <c r="G156" i="2"/>
  <c r="F156" i="2"/>
  <c r="I155" i="2"/>
  <c r="G155" i="2"/>
  <c r="B155" i="2"/>
  <c r="J153" i="2"/>
  <c r="I153" i="2"/>
  <c r="H153" i="2"/>
  <c r="G153" i="2"/>
  <c r="F153" i="2"/>
  <c r="D153" i="2"/>
  <c r="B152" i="2"/>
  <c r="B151" i="2"/>
  <c r="B150" i="2"/>
  <c r="J148" i="2"/>
  <c r="I148" i="2"/>
  <c r="H148" i="2"/>
  <c r="G148" i="2"/>
  <c r="F148" i="2"/>
  <c r="D148" i="2"/>
  <c r="B147" i="2"/>
  <c r="B146" i="2"/>
  <c r="B145" i="2"/>
  <c r="B144" i="2"/>
  <c r="B142" i="2"/>
  <c r="G141" i="2"/>
  <c r="F141" i="2"/>
  <c r="B141" i="2"/>
  <c r="B139" i="2"/>
  <c r="G138" i="2"/>
  <c r="B138" i="2"/>
  <c r="B137" i="2"/>
  <c r="B136" i="2"/>
  <c r="F135" i="2"/>
  <c r="B135" i="2"/>
  <c r="B134" i="2"/>
  <c r="F133" i="2"/>
  <c r="B133" i="2"/>
  <c r="B131" i="2"/>
  <c r="B129" i="2"/>
  <c r="G128" i="2"/>
  <c r="F128" i="2"/>
  <c r="B128" i="2"/>
  <c r="F127" i="2"/>
  <c r="B127" i="2"/>
  <c r="G126" i="2"/>
  <c r="F126" i="2"/>
  <c r="E126" i="2"/>
  <c r="B126" i="2"/>
  <c r="J125" i="2"/>
  <c r="I125" i="2"/>
  <c r="H125" i="2"/>
  <c r="G125" i="2"/>
  <c r="B125" i="2"/>
  <c r="B123" i="2"/>
  <c r="B122" i="2"/>
  <c r="B121" i="2"/>
  <c r="B120" i="2"/>
  <c r="F119" i="2"/>
  <c r="B119" i="2"/>
  <c r="B118" i="2"/>
  <c r="J115" i="2"/>
  <c r="I115" i="2"/>
  <c r="H115" i="2"/>
  <c r="G115" i="2"/>
  <c r="F115" i="2"/>
  <c r="D115" i="2"/>
  <c r="J114" i="2"/>
  <c r="I114" i="2"/>
  <c r="H114" i="2"/>
  <c r="G114" i="2"/>
  <c r="F114" i="2"/>
  <c r="J113" i="2"/>
  <c r="I113" i="2"/>
  <c r="H113" i="2"/>
  <c r="G113" i="2"/>
  <c r="B113" i="2"/>
  <c r="J112" i="2"/>
  <c r="I112" i="2"/>
  <c r="H112" i="2"/>
  <c r="G112" i="2"/>
  <c r="B112" i="2"/>
  <c r="J110" i="2"/>
  <c r="I110" i="2"/>
  <c r="H110" i="2"/>
  <c r="G110" i="2"/>
  <c r="F110" i="2"/>
  <c r="D110" i="2"/>
  <c r="J109" i="2"/>
  <c r="B109" i="2"/>
  <c r="B107" i="2"/>
  <c r="B106" i="2"/>
  <c r="J105" i="2"/>
  <c r="B105" i="2"/>
  <c r="H104" i="2"/>
  <c r="G104" i="2"/>
  <c r="F104" i="2"/>
  <c r="D104" i="2"/>
  <c r="B104" i="2"/>
  <c r="J103" i="2"/>
  <c r="I103" i="2"/>
  <c r="H103" i="2"/>
  <c r="G103" i="2"/>
  <c r="B103" i="2"/>
  <c r="B102" i="2"/>
  <c r="J100" i="2"/>
  <c r="I100" i="2"/>
  <c r="H100" i="2"/>
  <c r="G100" i="2"/>
  <c r="F100" i="2"/>
  <c r="D100" i="2"/>
  <c r="B99" i="2"/>
  <c r="B98" i="2"/>
  <c r="B96" i="2"/>
  <c r="G95" i="2"/>
  <c r="B95" i="2"/>
  <c r="H94" i="2"/>
  <c r="G94" i="2"/>
  <c r="F94" i="2"/>
  <c r="E94" i="2"/>
  <c r="D94" i="2"/>
  <c r="B94" i="2"/>
  <c r="B93" i="2"/>
  <c r="B92" i="2"/>
  <c r="J91" i="2"/>
  <c r="I91" i="2"/>
  <c r="G91" i="2"/>
  <c r="B91" i="2"/>
  <c r="B90" i="2"/>
  <c r="B89" i="2"/>
  <c r="J87" i="2"/>
  <c r="I87" i="2"/>
  <c r="H87" i="2"/>
  <c r="G87" i="2"/>
  <c r="F87" i="2"/>
  <c r="D87" i="2"/>
  <c r="F86" i="2"/>
  <c r="B86" i="2"/>
  <c r="F85" i="2"/>
  <c r="B85" i="2"/>
  <c r="F83" i="2"/>
  <c r="B83" i="2"/>
  <c r="B81" i="2"/>
  <c r="J79" i="2"/>
  <c r="I79" i="2"/>
  <c r="H79" i="2"/>
  <c r="G79" i="2"/>
  <c r="F79" i="2"/>
  <c r="D79" i="2"/>
  <c r="B78" i="2"/>
  <c r="F77" i="2"/>
  <c r="B77" i="2"/>
  <c r="J76" i="2"/>
  <c r="I76" i="2"/>
  <c r="H76" i="2"/>
  <c r="G76" i="2"/>
  <c r="F76" i="2"/>
  <c r="D76" i="2"/>
  <c r="H75" i="2"/>
  <c r="G75" i="2"/>
  <c r="F75" i="2"/>
  <c r="D75" i="2"/>
  <c r="B75" i="2"/>
  <c r="G74" i="2"/>
  <c r="D74" i="2"/>
  <c r="B74" i="2"/>
  <c r="B73" i="2"/>
  <c r="G72" i="2"/>
  <c r="B72" i="2"/>
  <c r="F71" i="2"/>
  <c r="B71" i="2"/>
  <c r="G70" i="2"/>
  <c r="D70" i="2"/>
  <c r="B70" i="2"/>
  <c r="B69" i="2"/>
  <c r="G68" i="2"/>
  <c r="F68" i="2"/>
  <c r="B68" i="2"/>
  <c r="H67" i="2"/>
  <c r="B67" i="2"/>
  <c r="I66" i="2"/>
  <c r="G66" i="2"/>
  <c r="D66" i="2"/>
  <c r="B66" i="2"/>
  <c r="G65" i="2"/>
  <c r="D65" i="2"/>
  <c r="B65" i="2"/>
  <c r="B64" i="2"/>
  <c r="B63" i="2"/>
  <c r="I62" i="2"/>
  <c r="B62" i="2"/>
  <c r="J60" i="2"/>
  <c r="I60" i="2"/>
  <c r="H60" i="2"/>
  <c r="G60" i="2"/>
  <c r="F60" i="2"/>
  <c r="D60" i="2"/>
  <c r="G59" i="2"/>
  <c r="F59" i="2"/>
  <c r="D59" i="2"/>
  <c r="B59" i="2"/>
  <c r="G58" i="2"/>
  <c r="F58" i="2"/>
  <c r="B58" i="2"/>
  <c r="B57" i="2"/>
  <c r="B56" i="2"/>
  <c r="B55" i="2"/>
  <c r="B54" i="2"/>
  <c r="B53" i="2"/>
  <c r="B52" i="2"/>
  <c r="G51" i="2"/>
  <c r="F51" i="2"/>
  <c r="B51" i="2"/>
  <c r="I50" i="2"/>
  <c r="H50" i="2"/>
  <c r="G50" i="2"/>
  <c r="F50" i="2"/>
  <c r="B50" i="2"/>
  <c r="H49" i="2"/>
  <c r="G49" i="2"/>
  <c r="F49" i="2"/>
  <c r="D49" i="2"/>
  <c r="B49" i="2"/>
  <c r="G48" i="2"/>
  <c r="F48" i="2"/>
  <c r="B48" i="2"/>
  <c r="F47" i="2"/>
  <c r="B47" i="2"/>
  <c r="F46" i="2"/>
  <c r="B46" i="2"/>
  <c r="D45" i="2"/>
  <c r="B45" i="2"/>
  <c r="I44" i="2"/>
  <c r="H44" i="2"/>
  <c r="G44" i="2"/>
  <c r="F44" i="2"/>
  <c r="D44" i="2"/>
  <c r="B44" i="2"/>
  <c r="G43" i="2"/>
  <c r="F43" i="2"/>
  <c r="B43" i="2"/>
  <c r="J41" i="2"/>
  <c r="I41" i="2"/>
  <c r="H41" i="2"/>
  <c r="G41" i="2"/>
  <c r="F41" i="2"/>
  <c r="D41" i="2"/>
  <c r="B40" i="2"/>
  <c r="B39" i="2"/>
  <c r="H38" i="2"/>
  <c r="G38" i="2"/>
  <c r="F38" i="2"/>
  <c r="B38" i="2"/>
  <c r="I37" i="2"/>
  <c r="H37" i="2"/>
  <c r="G37" i="2"/>
  <c r="F37" i="2"/>
  <c r="B37" i="2"/>
  <c r="F36" i="2"/>
  <c r="B36" i="2"/>
  <c r="H35" i="2"/>
  <c r="F35" i="2"/>
  <c r="B35" i="2"/>
  <c r="J33" i="2"/>
  <c r="I33" i="2"/>
  <c r="H33" i="2"/>
  <c r="G33" i="2"/>
  <c r="F33" i="2"/>
  <c r="D33" i="2"/>
  <c r="B32" i="2"/>
  <c r="B31" i="2"/>
  <c r="B30" i="2"/>
  <c r="G29" i="2"/>
  <c r="D29" i="2"/>
  <c r="B29" i="2"/>
  <c r="H28" i="2"/>
  <c r="F28" i="2"/>
  <c r="D28" i="2"/>
  <c r="B28" i="2"/>
  <c r="B27" i="2"/>
  <c r="B26" i="2"/>
  <c r="H25" i="2"/>
  <c r="B25" i="2"/>
  <c r="G24" i="2"/>
  <c r="F24" i="2"/>
  <c r="D24" i="2"/>
  <c r="B24" i="2"/>
  <c r="J23" i="2"/>
  <c r="I23" i="2"/>
  <c r="H23" i="2"/>
  <c r="B23" i="2"/>
  <c r="B22" i="2"/>
  <c r="G21" i="2"/>
  <c r="F21" i="2"/>
  <c r="D21" i="2"/>
  <c r="B21" i="2"/>
  <c r="B20" i="2"/>
  <c r="J19" i="2"/>
  <c r="H19" i="2"/>
  <c r="B19" i="2"/>
  <c r="J18" i="2"/>
  <c r="I18" i="2"/>
  <c r="H18" i="2"/>
  <c r="G18" i="2"/>
  <c r="F18" i="2"/>
  <c r="B18" i="2"/>
  <c r="J16" i="2"/>
  <c r="I16" i="2"/>
  <c r="H16" i="2"/>
  <c r="G16" i="2"/>
  <c r="F16" i="2"/>
  <c r="D16" i="2"/>
  <c r="B15" i="2"/>
  <c r="B14" i="2"/>
  <c r="B13" i="2"/>
  <c r="B12" i="2"/>
  <c r="G11" i="2"/>
  <c r="D11" i="2"/>
  <c r="B11" i="2"/>
  <c r="D10" i="2"/>
  <c r="B10" i="2"/>
  <c r="F9" i="2"/>
  <c r="B9" i="2"/>
  <c r="B8" i="2"/>
  <c r="G7" i="2"/>
  <c r="F7" i="2"/>
  <c r="B7" i="2"/>
  <c r="G6" i="2"/>
  <c r="D6" i="2"/>
  <c r="B6" i="2"/>
  <c r="B5" i="2"/>
  <c r="F4" i="2"/>
  <c r="D219" i="3"/>
  <c r="D217" i="3"/>
  <c r="D216" i="3"/>
  <c r="J213" i="3"/>
  <c r="I213" i="3"/>
  <c r="H213" i="3"/>
  <c r="G213" i="3"/>
  <c r="J212" i="3"/>
  <c r="I212" i="3"/>
  <c r="H212" i="3"/>
  <c r="G212" i="3"/>
  <c r="J211" i="3"/>
  <c r="I211" i="3"/>
  <c r="H211" i="3"/>
  <c r="G211" i="3"/>
  <c r="B210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H192" i="3"/>
  <c r="B192" i="3"/>
  <c r="B191" i="3"/>
  <c r="B190" i="3"/>
  <c r="B189" i="3"/>
  <c r="B188" i="3"/>
  <c r="J187" i="3"/>
  <c r="B187" i="3"/>
  <c r="B186" i="3"/>
  <c r="F185" i="3"/>
  <c r="B185" i="3"/>
  <c r="J183" i="3"/>
  <c r="I183" i="3"/>
  <c r="H183" i="3"/>
  <c r="G183" i="3"/>
  <c r="F183" i="3"/>
  <c r="D183" i="3"/>
  <c r="J181" i="3"/>
  <c r="I181" i="3"/>
  <c r="H181" i="3"/>
  <c r="G181" i="3"/>
  <c r="F181" i="3"/>
  <c r="D181" i="3"/>
  <c r="B180" i="3"/>
  <c r="B178" i="3"/>
  <c r="B177" i="3"/>
  <c r="B176" i="3"/>
  <c r="B175" i="3"/>
  <c r="B174" i="3"/>
  <c r="J173" i="3"/>
  <c r="F173" i="3"/>
  <c r="B173" i="3"/>
  <c r="J171" i="3"/>
  <c r="I171" i="3"/>
  <c r="H171" i="3"/>
  <c r="G171" i="3"/>
  <c r="F171" i="3"/>
  <c r="I170" i="3"/>
  <c r="G170" i="3"/>
  <c r="B170" i="3"/>
  <c r="J168" i="3"/>
  <c r="I168" i="3"/>
  <c r="H168" i="3"/>
  <c r="G168" i="3"/>
  <c r="F168" i="3"/>
  <c r="D168" i="3"/>
  <c r="B167" i="3"/>
  <c r="B166" i="3"/>
  <c r="B165" i="3"/>
  <c r="J159" i="3"/>
  <c r="I159" i="3"/>
  <c r="H159" i="3"/>
  <c r="G159" i="3"/>
  <c r="F159" i="3"/>
  <c r="D159" i="3"/>
  <c r="B158" i="3"/>
  <c r="B157" i="3"/>
  <c r="B156" i="3"/>
  <c r="B155" i="3"/>
  <c r="B152" i="3"/>
  <c r="G151" i="3"/>
  <c r="F151" i="3"/>
  <c r="B151" i="3"/>
  <c r="B149" i="3"/>
  <c r="G146" i="3"/>
  <c r="B146" i="3"/>
  <c r="B145" i="3"/>
  <c r="B144" i="3"/>
  <c r="F143" i="3"/>
  <c r="B143" i="3"/>
  <c r="B142" i="3"/>
  <c r="F141" i="3"/>
  <c r="B141" i="3"/>
  <c r="B139" i="3"/>
  <c r="B137" i="3"/>
  <c r="G136" i="3"/>
  <c r="F136" i="3"/>
  <c r="B136" i="3"/>
  <c r="F135" i="3"/>
  <c r="B135" i="3"/>
  <c r="G133" i="3"/>
  <c r="F133" i="3"/>
  <c r="E133" i="3"/>
  <c r="B133" i="3"/>
  <c r="J132" i="3"/>
  <c r="I132" i="3"/>
  <c r="H132" i="3"/>
  <c r="G132" i="3"/>
  <c r="B132" i="3"/>
  <c r="B130" i="3"/>
  <c r="B129" i="3"/>
  <c r="B128" i="3"/>
  <c r="B127" i="3"/>
  <c r="F125" i="3"/>
  <c r="B125" i="3"/>
  <c r="B124" i="3"/>
  <c r="J121" i="3"/>
  <c r="I121" i="3"/>
  <c r="H121" i="3"/>
  <c r="G121" i="3"/>
  <c r="F121" i="3"/>
  <c r="D121" i="3"/>
  <c r="J120" i="3"/>
  <c r="I120" i="3"/>
  <c r="H120" i="3"/>
  <c r="G120" i="3"/>
  <c r="F120" i="3"/>
  <c r="J119" i="3"/>
  <c r="I119" i="3"/>
  <c r="H119" i="3"/>
  <c r="G119" i="3"/>
  <c r="B119" i="3"/>
  <c r="J118" i="3"/>
  <c r="I118" i="3"/>
  <c r="H118" i="3"/>
  <c r="G118" i="3"/>
  <c r="B118" i="3"/>
  <c r="J116" i="3"/>
  <c r="I116" i="3"/>
  <c r="H116" i="3"/>
  <c r="G116" i="3"/>
  <c r="F116" i="3"/>
  <c r="D116" i="3"/>
  <c r="J115" i="3"/>
  <c r="B115" i="3"/>
  <c r="B113" i="3"/>
  <c r="B112" i="3"/>
  <c r="J111" i="3"/>
  <c r="B111" i="3"/>
  <c r="H110" i="3"/>
  <c r="G110" i="3"/>
  <c r="F110" i="3"/>
  <c r="D110" i="3"/>
  <c r="B110" i="3"/>
  <c r="J109" i="3"/>
  <c r="I109" i="3"/>
  <c r="H109" i="3"/>
  <c r="G109" i="3"/>
  <c r="B109" i="3"/>
  <c r="B108" i="3"/>
  <c r="J106" i="3"/>
  <c r="I106" i="3"/>
  <c r="H106" i="3"/>
  <c r="G106" i="3"/>
  <c r="F106" i="3"/>
  <c r="D106" i="3"/>
  <c r="B105" i="3"/>
  <c r="B104" i="3"/>
  <c r="B102" i="3"/>
  <c r="G101" i="3"/>
  <c r="B101" i="3"/>
  <c r="H100" i="3"/>
  <c r="G100" i="3"/>
  <c r="F100" i="3"/>
  <c r="E100" i="3"/>
  <c r="D100" i="3"/>
  <c r="B100" i="3"/>
  <c r="B99" i="3"/>
  <c r="B98" i="3"/>
  <c r="J97" i="3"/>
  <c r="I97" i="3"/>
  <c r="G97" i="3"/>
  <c r="B97" i="3"/>
  <c r="B96" i="3"/>
  <c r="B95" i="3"/>
  <c r="J93" i="3"/>
  <c r="I93" i="3"/>
  <c r="H93" i="3"/>
  <c r="G93" i="3"/>
  <c r="F93" i="3"/>
  <c r="D93" i="3"/>
  <c r="F92" i="3"/>
  <c r="B92" i="3"/>
  <c r="F91" i="3"/>
  <c r="B91" i="3"/>
  <c r="F88" i="3"/>
  <c r="B88" i="3"/>
  <c r="B86" i="3"/>
  <c r="J84" i="3"/>
  <c r="I84" i="3"/>
  <c r="H84" i="3"/>
  <c r="G84" i="3"/>
  <c r="F84" i="3"/>
  <c r="D84" i="3"/>
  <c r="B83" i="3"/>
  <c r="F82" i="3"/>
  <c r="B82" i="3"/>
  <c r="J81" i="3"/>
  <c r="I81" i="3"/>
  <c r="H81" i="3"/>
  <c r="G81" i="3"/>
  <c r="F81" i="3"/>
  <c r="D81" i="3"/>
  <c r="H80" i="3"/>
  <c r="G80" i="3"/>
  <c r="F80" i="3"/>
  <c r="D80" i="3"/>
  <c r="B80" i="3"/>
  <c r="G79" i="3"/>
  <c r="D79" i="3"/>
  <c r="B79" i="3"/>
  <c r="B78" i="3"/>
  <c r="G77" i="3"/>
  <c r="B77" i="3"/>
  <c r="F76" i="3"/>
  <c r="B76" i="3"/>
  <c r="G75" i="3"/>
  <c r="D75" i="3"/>
  <c r="B75" i="3"/>
  <c r="B74" i="3"/>
  <c r="G73" i="3"/>
  <c r="F73" i="3"/>
  <c r="B73" i="3"/>
  <c r="H72" i="3"/>
  <c r="B72" i="3"/>
  <c r="I70" i="3"/>
  <c r="G70" i="3"/>
  <c r="D70" i="3"/>
  <c r="B70" i="3"/>
  <c r="G69" i="3"/>
  <c r="D69" i="3"/>
  <c r="B69" i="3"/>
  <c r="B67" i="3"/>
  <c r="B66" i="3"/>
  <c r="I65" i="3"/>
  <c r="B65" i="3"/>
  <c r="J63" i="3"/>
  <c r="I63" i="3"/>
  <c r="H63" i="3"/>
  <c r="G63" i="3"/>
  <c r="F63" i="3"/>
  <c r="D63" i="3"/>
  <c r="G62" i="3"/>
  <c r="F62" i="3"/>
  <c r="D62" i="3"/>
  <c r="B62" i="3"/>
  <c r="G61" i="3"/>
  <c r="F61" i="3"/>
  <c r="B61" i="3"/>
  <c r="B60" i="3"/>
  <c r="B59" i="3"/>
  <c r="B58" i="3"/>
  <c r="B57" i="3"/>
  <c r="B55" i="3"/>
  <c r="B54" i="3"/>
  <c r="G53" i="3"/>
  <c r="F53" i="3"/>
  <c r="B53" i="3"/>
  <c r="I52" i="3"/>
  <c r="H52" i="3"/>
  <c r="G52" i="3"/>
  <c r="F52" i="3"/>
  <c r="B52" i="3"/>
  <c r="H51" i="3"/>
  <c r="G51" i="3"/>
  <c r="F51" i="3"/>
  <c r="D51" i="3"/>
  <c r="B51" i="3"/>
  <c r="G50" i="3"/>
  <c r="F50" i="3"/>
  <c r="B50" i="3"/>
  <c r="F49" i="3"/>
  <c r="B49" i="3"/>
  <c r="F48" i="3"/>
  <c r="B48" i="3"/>
  <c r="D47" i="3"/>
  <c r="B47" i="3"/>
  <c r="I46" i="3"/>
  <c r="H46" i="3"/>
  <c r="G46" i="3"/>
  <c r="F46" i="3"/>
  <c r="D46" i="3"/>
  <c r="B46" i="3"/>
  <c r="G45" i="3"/>
  <c r="F45" i="3"/>
  <c r="B45" i="3"/>
  <c r="J43" i="3"/>
  <c r="I43" i="3"/>
  <c r="H43" i="3"/>
  <c r="G43" i="3"/>
  <c r="F43" i="3"/>
  <c r="D43" i="3"/>
  <c r="B42" i="3"/>
  <c r="B41" i="3"/>
  <c r="H40" i="3"/>
  <c r="G40" i="3"/>
  <c r="F40" i="3"/>
  <c r="B40" i="3"/>
  <c r="I39" i="3"/>
  <c r="H39" i="3"/>
  <c r="G39" i="3"/>
  <c r="F39" i="3"/>
  <c r="B39" i="3"/>
  <c r="F38" i="3"/>
  <c r="B38" i="3"/>
  <c r="H37" i="3"/>
  <c r="F37" i="3"/>
  <c r="B37" i="3"/>
  <c r="J35" i="3"/>
  <c r="I35" i="3"/>
  <c r="H35" i="3"/>
  <c r="G35" i="3"/>
  <c r="F35" i="3"/>
  <c r="D35" i="3"/>
  <c r="B34" i="3"/>
  <c r="B33" i="3"/>
  <c r="B32" i="3"/>
  <c r="G31" i="3"/>
  <c r="D31" i="3"/>
  <c r="B31" i="3"/>
  <c r="H30" i="3"/>
  <c r="F30" i="3"/>
  <c r="D30" i="3"/>
  <c r="B30" i="3"/>
  <c r="B29" i="3"/>
  <c r="B28" i="3"/>
  <c r="H27" i="3"/>
  <c r="B27" i="3"/>
  <c r="G26" i="3"/>
  <c r="F26" i="3"/>
  <c r="D26" i="3"/>
  <c r="B26" i="3"/>
  <c r="Q24" i="3"/>
  <c r="P24" i="3"/>
  <c r="O24" i="3"/>
  <c r="N24" i="3"/>
  <c r="M24" i="3"/>
  <c r="J24" i="3"/>
  <c r="I24" i="3"/>
  <c r="H24" i="3"/>
  <c r="B24" i="3"/>
  <c r="Q23" i="3"/>
  <c r="B23" i="3"/>
  <c r="Q22" i="3"/>
  <c r="G22" i="3"/>
  <c r="F22" i="3"/>
  <c r="D22" i="3"/>
  <c r="B22" i="3"/>
  <c r="Q21" i="3"/>
  <c r="B21" i="3"/>
  <c r="Q20" i="3"/>
  <c r="J20" i="3"/>
  <c r="H20" i="3"/>
  <c r="B20" i="3"/>
  <c r="Q19" i="3"/>
  <c r="J19" i="3"/>
  <c r="I19" i="3"/>
  <c r="H19" i="3"/>
  <c r="G19" i="3"/>
  <c r="F19" i="3"/>
  <c r="B19" i="3"/>
  <c r="Q18" i="3"/>
  <c r="Q17" i="3"/>
  <c r="P17" i="3"/>
  <c r="O17" i="3"/>
  <c r="N17" i="3"/>
  <c r="M17" i="3"/>
  <c r="J17" i="3"/>
  <c r="I17" i="3"/>
  <c r="H17" i="3"/>
  <c r="G17" i="3"/>
  <c r="F17" i="3"/>
  <c r="D17" i="3"/>
  <c r="Q16" i="3"/>
  <c r="B16" i="3"/>
  <c r="Q15" i="3"/>
  <c r="B15" i="3"/>
  <c r="Q14" i="3"/>
  <c r="B14" i="3"/>
  <c r="Q13" i="3"/>
  <c r="B13" i="3"/>
  <c r="Q12" i="3"/>
  <c r="G12" i="3"/>
  <c r="D12" i="3"/>
  <c r="B12" i="3"/>
  <c r="Q11" i="3"/>
  <c r="D11" i="3"/>
  <c r="B11" i="3"/>
  <c r="Q10" i="3"/>
  <c r="F10" i="3"/>
  <c r="B10" i="3"/>
  <c r="Q9" i="3"/>
  <c r="B9" i="3"/>
  <c r="Q8" i="3"/>
  <c r="G8" i="3"/>
  <c r="F8" i="3"/>
  <c r="B8" i="3"/>
  <c r="Q7" i="3"/>
  <c r="Q6" i="3"/>
  <c r="O6" i="3"/>
  <c r="N6" i="3"/>
  <c r="M6" i="3"/>
  <c r="G6" i="3"/>
  <c r="D6" i="3"/>
  <c r="B6" i="3"/>
  <c r="B5" i="3"/>
  <c r="F4" i="3"/>
  <c r="D2" i="9"/>
  <c r="D2" i="8"/>
</calcChain>
</file>

<file path=xl/comments1.xml><?xml version="1.0" encoding="utf-8"?>
<comments xmlns="http://schemas.openxmlformats.org/spreadsheetml/2006/main">
  <authors>
    <author>Belma Covic</author>
    <author>Eman Tacklami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Vedtatt i HØP 2015-2018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redusert kostnadsramme med kr 2 mill. ved behandling av høp 16-19
</t>
        </r>
      </text>
    </comment>
    <comment ref="D6" authorId="1" shapeId="0">
      <text>
        <r>
          <rPr>
            <b/>
            <sz val="9"/>
            <color indexed="81"/>
            <rFont val="Tahoma"/>
            <family val="2"/>
          </rPr>
          <t>Eman Tacklami:</t>
        </r>
        <r>
          <rPr>
            <sz val="9"/>
            <color indexed="81"/>
            <rFont val="Tahoma"/>
            <family val="2"/>
          </rPr>
          <t xml:space="preserve">
Bystyre bevilget 1 mill ekstra i HØP17-20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Må omreguleres, ferdigstilles i 2019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ferdigstillelseår av skolen er ikke vedtatt ved budsjettbehandling:"skal stå ferdig når det er behov for den…"
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Eman Tacklami:</t>
        </r>
        <r>
          <rPr>
            <sz val="9"/>
            <color indexed="81"/>
            <rFont val="Tahoma"/>
            <family val="2"/>
          </rPr>
          <t xml:space="preserve">
vedtatt budsjett 17-2020 totalt 210 mill. mot tidligere kostnadsramme på 182 mill.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fordeles 50/50 mellom bykassa og KF fom 2016
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i tillegg er det brukt kr 0,2 mill. på dette prosjektet som er finansiert av andre, holdes utenom
 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kr 2 mill. er brukt i driftsbudsjett</t>
        </r>
      </text>
    </comment>
    <comment ref="F133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kr 2 mill. er budsjettert i drift og rest. 22,2 mill. i investering
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kr 2 mill. overføres til drift
</t>
        </r>
      </text>
    </comment>
  </commentList>
</comments>
</file>

<file path=xl/comments2.xml><?xml version="1.0" encoding="utf-8"?>
<comments xmlns="http://schemas.openxmlformats.org/spreadsheetml/2006/main">
  <authors>
    <author>Belma Covic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redusert kostnadsramme med kr 2 mill. ved behandling av høp 16-19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Må omreguleres, ferdigstilles i 2019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ferdigstillelseår av skolen er ikke vedtatt ved budsjettbehandling:"skal stå ferdig når det er behov for den…"
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fordeles 50/50 mellom bykassa og KF fom 2016
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i tillegg er det brukt kr 0,2 mill. på dette prosjektet som er finansiert av andre, holdes utenom
 </t>
        </r>
      </text>
    </comment>
    <comment ref="E126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kr 2 mill. er brukt i driftsbudsjett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kr 2 mill. er budsjettert i drift og rest. 22,2 mill. i investering
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Belma Covic:</t>
        </r>
        <r>
          <rPr>
            <sz val="9"/>
            <color indexed="81"/>
            <rFont val="Tahoma"/>
            <family val="2"/>
          </rPr>
          <t xml:space="preserve">
kr 2 mill. overføres til drift
</t>
        </r>
      </text>
    </comment>
  </commentList>
</comments>
</file>

<file path=xl/comments3.xml><?xml version="1.0" encoding="utf-8"?>
<comments xmlns="http://schemas.openxmlformats.org/spreadsheetml/2006/main">
  <authors>
    <author>Eman Tacklami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Eman Tacklami:</t>
        </r>
        <r>
          <rPr>
            <sz val="9"/>
            <color indexed="81"/>
            <rFont val="Tahoma"/>
            <family val="2"/>
          </rPr>
          <t xml:space="preserve">
Avventer sak</t>
        </r>
      </text>
    </comment>
    <comment ref="H31" authorId="0" shapeId="0">
      <text>
        <r>
          <rPr>
            <b/>
            <sz val="8"/>
            <color indexed="81"/>
            <rFont val="Tahoma"/>
            <family val="2"/>
          </rPr>
          <t>Eman Tacklami:</t>
        </r>
        <r>
          <rPr>
            <sz val="8"/>
            <color indexed="81"/>
            <rFont val="Tahoma"/>
            <family val="2"/>
          </rPr>
          <t xml:space="preserve">
ca. 30 mill</t>
        </r>
      </text>
    </comment>
  </commentList>
</comments>
</file>

<file path=xl/comments4.xml><?xml version="1.0" encoding="utf-8"?>
<comments xmlns="http://schemas.openxmlformats.org/spreadsheetml/2006/main">
  <authors>
    <author>Eman Tacklami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Eman Tacklami:</t>
        </r>
        <r>
          <rPr>
            <sz val="9"/>
            <color indexed="81"/>
            <rFont val="Tahoma"/>
            <family val="2"/>
          </rPr>
          <t xml:space="preserve">
Økt 0,5 hvert år
</t>
        </r>
      </text>
    </comment>
  </commentList>
</comments>
</file>

<file path=xl/sharedStrings.xml><?xml version="1.0" encoding="utf-8"?>
<sst xmlns="http://schemas.openxmlformats.org/spreadsheetml/2006/main" count="1265" uniqueCount="510">
  <si>
    <t>DIVERSE BYGG OG ANLEGG</t>
  </si>
  <si>
    <t xml:space="preserve">Nye Tou, 1. byggetrinn (ferdig 2016) </t>
  </si>
  <si>
    <t>Holmeegenes, rehabilitering</t>
  </si>
  <si>
    <t>Administrasjonsbygg, utbedring</t>
  </si>
  <si>
    <t>Energitiltak i kommunale bygg (ferdigstilles i 2017)</t>
  </si>
  <si>
    <t>Olav Kyrres gate 19, varmesentral (ferdig 2017)</t>
  </si>
  <si>
    <t xml:space="preserve">Brannsikring i sentrum  </t>
  </si>
  <si>
    <t>Sum diverse bygg</t>
  </si>
  <si>
    <t>SKOLEBYGG</t>
  </si>
  <si>
    <t>Kannik skole, utvidelse (ferdig 2018)</t>
  </si>
  <si>
    <t>Storhaug bydel ny barneskole 14 rom</t>
  </si>
  <si>
    <t>Gausel skole, modulbygg to klasserom</t>
  </si>
  <si>
    <t>Skoler, inventar og utstyr</t>
  </si>
  <si>
    <t>Skoler, løpende rehabilitering</t>
  </si>
  <si>
    <t xml:space="preserve">Sum skolebygg </t>
  </si>
  <si>
    <t>BARNEHAGEBYGG</t>
  </si>
  <si>
    <t xml:space="preserve">Barnehager, løpende rehabilitering </t>
  </si>
  <si>
    <t>Barnehager, inventar og utstyr</t>
  </si>
  <si>
    <t>Sum barnehagebygg</t>
  </si>
  <si>
    <t>SYKEHJEM, BOFELLESSKAP OG BOLIG</t>
  </si>
  <si>
    <t>Boligtilbud demente</t>
  </si>
  <si>
    <t>Lås på medisinrom og vaktrom i sykehjem og hjemmebaserte tjenester</t>
  </si>
  <si>
    <t xml:space="preserve">Institusjoner og bofellesskap, løpende rehabilitering  </t>
  </si>
  <si>
    <t>Sum sykehjem, bofellesskap og bolig</t>
  </si>
  <si>
    <t>PARK- OG IDRETTSBYGG</t>
  </si>
  <si>
    <t xml:space="preserve">Idrettsbygg, rehabilitering </t>
  </si>
  <si>
    <t>Cricketbane tilrettelegging, interkommunal</t>
  </si>
  <si>
    <t>Stavanger idrettshall, garderober / fasade (ferdig 2019)</t>
  </si>
  <si>
    <t>Folkebad - Planleggingsutgifter</t>
  </si>
  <si>
    <t>Ishockeyvant-Stavanger ishall</t>
  </si>
  <si>
    <t>Nye Gamlingen, inkl. rekkefølgekrav (ferdig 2017)</t>
  </si>
  <si>
    <t>Olav Kyrres gate 19 inkludert Stavanger svømmehall , rehabilitering (ferdig 2018)</t>
  </si>
  <si>
    <t>Sum park og idrettsbygg</t>
  </si>
  <si>
    <t>Økt rehabilitering</t>
  </si>
  <si>
    <t>Sum bygg</t>
  </si>
  <si>
    <t>UTBYGGINGSOMRÅDER</t>
  </si>
  <si>
    <t>Storhaug</t>
  </si>
  <si>
    <t>Områdeløft Storhaug</t>
  </si>
  <si>
    <t>Jåttåvågen</t>
  </si>
  <si>
    <t>Jåttåvågen områdeutvikling (ferdig 2016)</t>
  </si>
  <si>
    <t>Prosjekt utfylling- bruk av Rogfast-/Ryfastmasse</t>
  </si>
  <si>
    <t>Sum utbyggingsområder</t>
  </si>
  <si>
    <t>VANNVERKET</t>
  </si>
  <si>
    <t>Vannmålere/off. ledninger</t>
  </si>
  <si>
    <t>Fornyelse/renovering</t>
  </si>
  <si>
    <t xml:space="preserve">Vannledninger/utbyggingsområder </t>
  </si>
  <si>
    <t>Byomforming</t>
  </si>
  <si>
    <t>Vålandsbassengene (ferdig 2018)</t>
  </si>
  <si>
    <t>Ryfast, omlegging og oppgradering av vannettet</t>
  </si>
  <si>
    <t>Strakstiltak</t>
  </si>
  <si>
    <t>Kjøretøy vannverket</t>
  </si>
  <si>
    <t>Bil til lekkasjelytting</t>
  </si>
  <si>
    <t>Reparasjonslag</t>
  </si>
  <si>
    <t>Sum vannverket</t>
  </si>
  <si>
    <t>AVLØPSVERKET</t>
  </si>
  <si>
    <t>Separering</t>
  </si>
  <si>
    <t>Fornyelse og renovering</t>
  </si>
  <si>
    <t>Ryfast, omlegging og oppgradering av avløpsnettet og ekstraordinære pumpestasjoner</t>
  </si>
  <si>
    <t>Kjøretøy</t>
  </si>
  <si>
    <t>Stasjonsdrift</t>
  </si>
  <si>
    <t>Sum avløp</t>
  </si>
  <si>
    <t>RENOVASJON</t>
  </si>
  <si>
    <t>Kjøp av nye søppelspann</t>
  </si>
  <si>
    <t>Nedgravde containere</t>
  </si>
  <si>
    <t>Sum renovasjon</t>
  </si>
  <si>
    <t>Sum vann, avløp og renovasjon</t>
  </si>
  <si>
    <t>PARK OG VEI</t>
  </si>
  <si>
    <t>Framkommelighet</t>
  </si>
  <si>
    <t>Asfaltering</t>
  </si>
  <si>
    <t>Fortau, kantstein og sluk, rehabilitering</t>
  </si>
  <si>
    <t xml:space="preserve">Nye veianlegg </t>
  </si>
  <si>
    <t xml:space="preserve">Gatelys </t>
  </si>
  <si>
    <t>Miljø og trafikksikkerhet</t>
  </si>
  <si>
    <t>Sykkelveinettet, sykkelparkering og servicefunksjoner</t>
  </si>
  <si>
    <t>Trafikksikkerhet</t>
  </si>
  <si>
    <t>Miljø og gatetun</t>
  </si>
  <si>
    <t>Sentrum</t>
  </si>
  <si>
    <t>Park og nærmiljø</t>
  </si>
  <si>
    <t>Hillevåg torg</t>
  </si>
  <si>
    <t xml:space="preserve">Løkker,baner,skatebaner og nærmiljøanlegg  </t>
  </si>
  <si>
    <t>Tasta skatepark, del 2</t>
  </si>
  <si>
    <t>Kunst i offentlig rom ( lekeplasser )</t>
  </si>
  <si>
    <t xml:space="preserve">Prosjekt friområde </t>
  </si>
  <si>
    <t>Økt opparbeidelse av friområder</t>
  </si>
  <si>
    <t xml:space="preserve">Parkanlegg/friområder, rehabilitering </t>
  </si>
  <si>
    <t>Utendørs idrettsanlegg</t>
  </si>
  <si>
    <t>Kunstgressbaner, rehabilitering</t>
  </si>
  <si>
    <t xml:space="preserve">Idrettsanlegg, rehabilitering </t>
  </si>
  <si>
    <t>Uteområder kommunale bygg</t>
  </si>
  <si>
    <t>Nylund skole, rehabilitering av uteareal</t>
  </si>
  <si>
    <t xml:space="preserve">Utearealer skoler </t>
  </si>
  <si>
    <t xml:space="preserve">Sum park og vei </t>
  </si>
  <si>
    <t>FELLES</t>
  </si>
  <si>
    <t>Strømmålere, utskifting</t>
  </si>
  <si>
    <t>Egenkapitalinnskudd KLP</t>
  </si>
  <si>
    <t>Sum felles</t>
  </si>
  <si>
    <t>LEVEKÅR</t>
  </si>
  <si>
    <t>Biler</t>
  </si>
  <si>
    <t>Sum levekår</t>
  </si>
  <si>
    <t>KIRKELIG FELLESRÅD</t>
  </si>
  <si>
    <t>Domkirken 2025, ferdigstilles innen 2025</t>
  </si>
  <si>
    <t xml:space="preserve">Kirkeparker og gravlunder, oppgradering </t>
  </si>
  <si>
    <t>Hundvåg kirke, rehabilitering (ferdig i 2020)</t>
  </si>
  <si>
    <t xml:space="preserve">Tasta gravlund, prosjektering </t>
  </si>
  <si>
    <t>Sum kirkelig fellesråd</t>
  </si>
  <si>
    <t>FINANSIERING AV INVESTERINGER</t>
  </si>
  <si>
    <t>Overføring fra driften</t>
  </si>
  <si>
    <t>Momsrefusjon investeringer</t>
  </si>
  <si>
    <t>Lyse Energi AS, avdrag ansvarlig lån</t>
  </si>
  <si>
    <t>Salg av selveide boliger i bofellesskap for personer med utviklingshemming</t>
  </si>
  <si>
    <t>Salg av tomter/spart tomtekost Ryfastmasse</t>
  </si>
  <si>
    <t>Oppstartstilskudd nye sykehjemsplasser Lervig</t>
  </si>
  <si>
    <t>Oppstartstilskudd nye omsorgsboliger og bofellesskap</t>
  </si>
  <si>
    <t>Husbanktilskudd til kommunale boliger</t>
  </si>
  <si>
    <t>Spillemidler nærmiljøanlegg</t>
  </si>
  <si>
    <t>Spillemidler 2 svømmehaller (Hundvåg/Kvernevik)</t>
  </si>
  <si>
    <t>Tilskudd fra Enova, energitiltak kommunale bygg trinn 1 og trinn 2</t>
  </si>
  <si>
    <t>Triangulum, refusjoner fra EU knyttet til varmesentral</t>
  </si>
  <si>
    <t>Vålandstårnets venner</t>
  </si>
  <si>
    <t>Spillemidler garderobeanlegg og klubbhus på Midjord</t>
  </si>
  <si>
    <t>Bidrag fra IL Brodd, finansiering av klubbhus på Midjord</t>
  </si>
  <si>
    <t>Spillemidler, Nye Gamlingen</t>
  </si>
  <si>
    <t xml:space="preserve">Spillemidler, Hetlandshallen dobbelhall </t>
  </si>
  <si>
    <t>Låneopptak</t>
  </si>
  <si>
    <t>Sum finansiering av investeringer</t>
  </si>
  <si>
    <t>Andel egenfinansiering</t>
  </si>
  <si>
    <t>Andel lånefinansiering</t>
  </si>
  <si>
    <t>Samlet låneopptak i perioden</t>
  </si>
  <si>
    <t>Gjennomsnittlig egenfinansiering i planperioden</t>
  </si>
  <si>
    <t>Gjennomsnittlig lånefinansiering i planperioden</t>
  </si>
  <si>
    <t>Total prosjekt- kostnad</t>
  </si>
  <si>
    <t>Påløpte kostnader tom 2015</t>
  </si>
  <si>
    <t>Ny kirkesal i tilknytting til Hafrsfjordsenteret</t>
  </si>
  <si>
    <t>Velferdsteknologi</t>
  </si>
  <si>
    <t>Ny målestasjon Schancheholen</t>
  </si>
  <si>
    <t>Skeie skole modulbygg, 3 klasser</t>
  </si>
  <si>
    <t>Godeset skole, modulbygg to klasserom</t>
  </si>
  <si>
    <t>Kjøp og utvikling av prosjekter</t>
  </si>
  <si>
    <t>Avvik og varslingssystem</t>
  </si>
  <si>
    <t xml:space="preserve">Lunde skole, innvendig ombygging </t>
  </si>
  <si>
    <t>Lunde skole, oppgradering av skolegård</t>
  </si>
  <si>
    <t>Ytre Tasta barnehage, rehabilitering avd. Eskeland (ferdig 2021)</t>
  </si>
  <si>
    <t>Fredrikke Quams Gate, utbedring (ferdig i 2017)</t>
  </si>
  <si>
    <t xml:space="preserve">Idrettshall/skatehall Urban Sjøfront </t>
  </si>
  <si>
    <t>Bruk av ubundne investeringsfond</t>
  </si>
  <si>
    <t>Bruk av bundne investeringsfond</t>
  </si>
  <si>
    <t>INVESTERINGSTABELL 2017-2020</t>
  </si>
  <si>
    <t>Mottatte avdrag på konserninterne utlån</t>
  </si>
  <si>
    <t>Samlet finansieringsbehov i planperioden, Stavanger konsern</t>
  </si>
  <si>
    <t>Brannstasjon, Schancheholen (ferdig i 2021)</t>
  </si>
  <si>
    <t>Brannstasjon, Lervig (ferdigstilles i 2021)</t>
  </si>
  <si>
    <t>Madlamark skole, riving og nybygg (ferdig 2020)</t>
  </si>
  <si>
    <t>Tastaveden skole, rehabilitering (ferdig 2019)</t>
  </si>
  <si>
    <t>Salgsinntekter</t>
  </si>
  <si>
    <t>Spillemidler, idrettshall ved Madlamark skole</t>
  </si>
  <si>
    <t>Spillemidler, svømmehall ved Madlamark skole</t>
  </si>
  <si>
    <t>Sum investeringer</t>
  </si>
  <si>
    <t>Rehabilitering av eiendomsmassen, disponering av regjeringens tiltakspakke</t>
  </si>
  <si>
    <t>Rehabilitering av kaier og uteområder, disponering av regjeringens tiltakspakke</t>
  </si>
  <si>
    <t>Regjeringens tiltakspakke til vedlikehold og rehabilitering</t>
  </si>
  <si>
    <t>Nye Tou, 2. byggetrinn (ferdig 2021)</t>
  </si>
  <si>
    <t>Kulvert over motorvei, inkl. prosjektering               (ferdig 2017)</t>
  </si>
  <si>
    <t>Energitiltak i kommunale bygg, trinn 2                     (ferdigstilles i 2017)</t>
  </si>
  <si>
    <t>Vaulen skole, nybygg og utvidelse                   (ferdigstilles i 2021)</t>
  </si>
  <si>
    <t>Nylund skole, rehabilitering av fasade (ferdig 2018)</t>
  </si>
  <si>
    <t>Kvernevik skole, nybygg inkl. bydelskulturskole (ferdig i 2023)</t>
  </si>
  <si>
    <t>Hundvåg skole, rehabilitering inkludert bydelskulturskole (ferdig 2017)</t>
  </si>
  <si>
    <t>Gautesete skole, rehabilitering og ombygging                                      (ferdig i 2020)</t>
  </si>
  <si>
    <t>Tastavarden barnehage, avdeling Smiene, 5 avd.     (ferdig i 2020)</t>
  </si>
  <si>
    <t>Barnehagen Tasta (ferdig i 2018)</t>
  </si>
  <si>
    <t>Ytre Tasta barnehage, avd. Vardenes, riving/nybygg, 4 avd. (ferdig 2019)</t>
  </si>
  <si>
    <t>Bjørn Farmannsgt 25, 4 plasser i barnebolig, inkl.parkering (ferdig 2017/2018)</t>
  </si>
  <si>
    <t>Lervig sykehjem, nybygg inkl. tomt og prod. Kjøkken, 123 plasser (ferdig 2017/2018)</t>
  </si>
  <si>
    <t>Selveide boliger i bofellesskap for personer med utviklingshemming, 12 boliger (ferdig i 2018)</t>
  </si>
  <si>
    <t>Rehabilitering av baderom ved fire sykehjem fra 80-tallet, disponering av regjeringens tiltakspakke</t>
  </si>
  <si>
    <t>Signalanlegg i sykehjem, oppgradering til smykkealarmer</t>
  </si>
  <si>
    <t>Oddahagen, 9 boliger (ferdig i 2017)</t>
  </si>
  <si>
    <t>Kari Trestakkv. 3, 10 boliger (ferdig i 2017)</t>
  </si>
  <si>
    <t>Lassaveien rehabilitering/ombygging av fire boliger, 2. byggetrinn (ferdig i 2017)</t>
  </si>
  <si>
    <t>Haugåsveien 26/28, riving og bygging av bofellesskap for psykisk helse og kommunale boliger (ferdig 2019)</t>
  </si>
  <si>
    <t>Helsehuset i Stavanger</t>
  </si>
  <si>
    <t>Ramsviktunet sykehjem, nytt sykesignalanlegg</t>
  </si>
  <si>
    <t>Hinna garderobebygg, inkludert rekkefølgekrav (ferdig 2021)</t>
  </si>
  <si>
    <t>Hetlandshallen, dobbelhall (ferdig i 2017/2018)</t>
  </si>
  <si>
    <t>Svømmehall varmtvannsbasseng v/Madlamark skole    (ferdig i 2020)</t>
  </si>
  <si>
    <t>Idrettshall v/Madlamark skole (ferdig i 2020)</t>
  </si>
  <si>
    <t>Nytt garderobeanlegg og klubbhus på Midjord (ferdig i 2017)</t>
  </si>
  <si>
    <t>Kvernevik og Sunde bydelshus</t>
  </si>
  <si>
    <t>Ringledninger/forsterkninger</t>
  </si>
  <si>
    <t>Flaskehalsutbedring (ferdig 2017)</t>
  </si>
  <si>
    <t xml:space="preserve">Gatelysarmatur som inneholder kvikksølv, utskifting (ferdigstilles i 2019) </t>
  </si>
  <si>
    <t>Sykkelstrategi (ferdig 2017)</t>
  </si>
  <si>
    <t xml:space="preserve">Austre Åmøy, gang/sykkelvei  </t>
  </si>
  <si>
    <t>Bekkefaret kirke, rehabilitering (ferdig 2018)</t>
  </si>
  <si>
    <t>Gravlunder, utredning av trykk- og avløpsledninger            (ferdig i 2018)</t>
  </si>
  <si>
    <t>Dag/aktivitetstilbud for personer med utviklingshemming (ferdigstilles i 2017)</t>
  </si>
  <si>
    <t>Holmeegenes, inventar</t>
  </si>
  <si>
    <t>Madlamark skole svømmehall, rehabilitering i stedet for nybygg</t>
  </si>
  <si>
    <t xml:space="preserve">Klasserom/garderobeanlegg Jåtten/Hinna </t>
  </si>
  <si>
    <t>Ny barneskole på Storhaug</t>
  </si>
  <si>
    <t>Ramsviktunet sykehjem</t>
  </si>
  <si>
    <t xml:space="preserve">Trafikksikring Jåtten </t>
  </si>
  <si>
    <t xml:space="preserve">Flaskehalsprosjektet </t>
  </si>
  <si>
    <t xml:space="preserve">Sykkelstrategi   </t>
  </si>
  <si>
    <t>Hundeluftgårder</t>
  </si>
  <si>
    <t xml:space="preserve">Skoler - investering i IKS/Smartteknologi </t>
  </si>
  <si>
    <t xml:space="preserve">Investering smartteknologi </t>
  </si>
  <si>
    <t xml:space="preserve">Startkapital aksjer Stavanger Convention Bureau (Forum) </t>
  </si>
  <si>
    <t xml:space="preserve">Områdeløft Hillevåg </t>
  </si>
  <si>
    <t xml:space="preserve">Hafrsfjordsenteret, ny kirkesal </t>
  </si>
  <si>
    <t>Økt låneopptak</t>
  </si>
  <si>
    <t>Endring</t>
  </si>
  <si>
    <t xml:space="preserve"> Budsjett 2016</t>
  </si>
  <si>
    <t>INVESTERINGSTABELL 2017-2020, vedtatte endringer i bystyre</t>
  </si>
  <si>
    <t>Vaulen skole, nybygg og utvidelse  (ferdigstilles i 2021)</t>
  </si>
  <si>
    <t>Energitiltak i kommunale bygg, trinn 2    (ferdigstilles i 2017)</t>
  </si>
  <si>
    <t>Kulvert over motorvei, inkl. prosjektering  (ferdig 2017)</t>
  </si>
  <si>
    <t>2017</t>
  </si>
  <si>
    <t>2018</t>
  </si>
  <si>
    <t>2019</t>
  </si>
  <si>
    <t>2020</t>
  </si>
  <si>
    <t>Formål</t>
  </si>
  <si>
    <t>SYKEHJEM, BOFELLESSKAP OSV.</t>
  </si>
  <si>
    <t>Utstyr, inventar, felles systemer</t>
  </si>
  <si>
    <t>Stavanger bolig KF</t>
  </si>
  <si>
    <t>Stavanger utvikling KF</t>
  </si>
  <si>
    <t>Sølvberget KF</t>
  </si>
  <si>
    <t>Stavanger natur- og idrettsservice KF</t>
  </si>
  <si>
    <t>Stavanger byggdrift KF</t>
  </si>
  <si>
    <t>Stavanger Parkeringsselskap KF</t>
  </si>
  <si>
    <t>Totalt</t>
  </si>
  <si>
    <t>St.Petri aldershjem,riving, nytt bofellesskap (ferdig 2022)</t>
  </si>
  <si>
    <t>Omsorgsboliger i bofellesskap til personer med utviklingshemming (2x8 boliger) , ferdigstilles i 2020 og tas i bruk juni 2020</t>
  </si>
  <si>
    <t>Et bofellesskap for 4 personer med rus- og psykiatrilidelser (ferdig i 2017/2018)</t>
  </si>
  <si>
    <t>Eldre boliger, rehabilitering (BKF)</t>
  </si>
  <si>
    <t xml:space="preserve">Boliger til flyktninger og vanskeligstilte, bygging og kjøp </t>
  </si>
  <si>
    <t>Kjøp av areal i hovedutbyggingsområder</t>
  </si>
  <si>
    <t>Byggemodning av hovedutbyggingsområder</t>
  </si>
  <si>
    <t>NY</t>
  </si>
  <si>
    <t>-</t>
  </si>
  <si>
    <t>Påløpte kostnader tom 2016</t>
  </si>
  <si>
    <t>X</t>
  </si>
  <si>
    <t>Hinna garderobebygg, inkludert rekkefølgekrav (ferdig 2019)</t>
  </si>
  <si>
    <t>Gravlunder, utredning av trykk- og avløpsledninger (ferdig i 2018)</t>
  </si>
  <si>
    <t>Gautesete skole, rehabilitering og ombygging  (ferdig i 2020)</t>
  </si>
  <si>
    <t>Hundvåg skole, rehabilitering inkludert bydelskulturskole (ferdig 2018)</t>
  </si>
  <si>
    <t>Madlamark skole, riving og nybygg (ferdig 2021)</t>
  </si>
  <si>
    <t>Idrettshall v/Madlamark skole (ferdig i 2021)</t>
  </si>
  <si>
    <t>Nylund skole, rehabilitering av fasade (ferdig 2019)</t>
  </si>
  <si>
    <t>Barnehage med 6 avdelinger på Storhaug,  byggekostnader</t>
  </si>
  <si>
    <t>Oddahagen, 9 boliger (ferdig i 2018)</t>
  </si>
  <si>
    <t>Flaskehalsutbedring (ferdig 2018)</t>
  </si>
  <si>
    <t>Tasta skatepark, del 2 (ferdig 2018)</t>
  </si>
  <si>
    <t>Ny kirkesal i tilknytting til Hafrsfjordsenteret(ferdig 2021)</t>
  </si>
  <si>
    <t>Budsjett 2017</t>
  </si>
  <si>
    <r>
      <t xml:space="preserve">INVESTERINGSTABELL 2018-2021- </t>
    </r>
    <r>
      <rPr>
        <b/>
        <sz val="11"/>
        <color rgb="FFFF0000"/>
        <rFont val="Calibri"/>
        <family val="2"/>
        <scheme val="minor"/>
      </rPr>
      <t>(må kvalitetssikres av KF)</t>
    </r>
  </si>
  <si>
    <r>
      <rPr>
        <b/>
        <sz val="11"/>
        <rFont val="Calibri"/>
        <family val="2"/>
        <scheme val="minor"/>
      </rPr>
      <t>INVESTERINGSTABELL 2018-2021</t>
    </r>
    <r>
      <rPr>
        <b/>
        <sz val="11"/>
        <color rgb="FFFF0000"/>
        <rFont val="Calibri"/>
        <family val="2"/>
        <scheme val="minor"/>
      </rPr>
      <t>- (må kvalitetssikres av KF)</t>
    </r>
  </si>
  <si>
    <t>Barnehage med 5 avdelinger på Våland,  byggekostnader</t>
  </si>
  <si>
    <t>Tomt på Storhaug</t>
  </si>
  <si>
    <t>1</t>
  </si>
  <si>
    <t>2</t>
  </si>
  <si>
    <t>4</t>
  </si>
  <si>
    <t>5</t>
  </si>
  <si>
    <t>6</t>
  </si>
  <si>
    <t>7</t>
  </si>
  <si>
    <t>8</t>
  </si>
  <si>
    <t xml:space="preserve"> 2 018 </t>
  </si>
  <si>
    <t xml:space="preserve"> 2 019 </t>
  </si>
  <si>
    <t xml:space="preserve"> 2 020 </t>
  </si>
  <si>
    <t xml:space="preserve"> 2 021 </t>
  </si>
  <si>
    <t>3</t>
  </si>
  <si>
    <t>NR</t>
  </si>
  <si>
    <t>2021</t>
  </si>
  <si>
    <t>Kjøp og utvikling av andre eiendommer</t>
  </si>
  <si>
    <t>Strategisk kjøp av areal, jf. Bystyresak 96/16</t>
  </si>
  <si>
    <t>Boliger for eldre, selges til beboere</t>
  </si>
  <si>
    <t>Sum Stavanger utvikling KF</t>
  </si>
  <si>
    <t>BOFELLESSKAP OG BOLIG</t>
  </si>
  <si>
    <t>Stavanger Bolig KF</t>
  </si>
  <si>
    <t>Rekkefølgekrav 3 barnehageprosjekter Tasta</t>
  </si>
  <si>
    <t>Tastaveden skole, rehabilitering (ferdig 2020)</t>
  </si>
  <si>
    <t>Svømmehall varmtvannsbasseng v/Madlamark skole (ferdig i 2021)</t>
  </si>
  <si>
    <t>Rehabilitering av bad på 4 sykehjem</t>
  </si>
  <si>
    <t>Boligtilbud til demente- prosjektering</t>
  </si>
  <si>
    <t>Selveierboliger i bofellesskap for personer med utviklingshemming, 12 boliger (ferdig i 2020)</t>
  </si>
  <si>
    <t>Ny</t>
  </si>
  <si>
    <t xml:space="preserve">Omsorgsbygg 2030- mulighetsstudier og prosjektering </t>
  </si>
  <si>
    <t>Kostnadsramme</t>
  </si>
  <si>
    <t>Signalanlegg på sykehjemene</t>
  </si>
  <si>
    <t>Gjeldende HØP</t>
  </si>
  <si>
    <t>Prosjekt</t>
  </si>
  <si>
    <t>Investeringer i levekårområdet, bykassen</t>
  </si>
  <si>
    <t>Sum investeringer levekår, bykassen</t>
  </si>
  <si>
    <t>Sum investeringer levekår, bolig KF</t>
  </si>
  <si>
    <t>Etablererboliger UH- 6 boliger for brukere og 1 for personalbase.  (ferdig 2020)</t>
  </si>
  <si>
    <t>Bofellesskap for UH-6 boliger (ferdig 2022)</t>
  </si>
  <si>
    <t>Sum investeringer levekår + bolig bygg KF</t>
  </si>
  <si>
    <t>Investeringer i levekårområdet, bolig bygg KF</t>
  </si>
  <si>
    <t xml:space="preserve">Sunde og kvernevik bydelshus- opparbeidelse i tråd med krav til et offentlig torgareal </t>
  </si>
  <si>
    <t>Stavanger Idrettshall utvidelse av permanent tribunekapasitet</t>
  </si>
  <si>
    <t>Sunde og Kvernevik- Nedgravde konteinere til avfallshåndtrering</t>
  </si>
  <si>
    <t>Rehabilitering av kunstgessbaner- 3 baner hvert år</t>
  </si>
  <si>
    <t>Rehabilitering av Kongsgata</t>
  </si>
  <si>
    <t>Uteområde ved Kannik skole</t>
  </si>
  <si>
    <t>Rekkefølgekrav- støytiltak ved Gamleveien</t>
  </si>
  <si>
    <t>Bil reparasjonslag</t>
  </si>
  <si>
    <t>Servicebiler, 2 stk</t>
  </si>
  <si>
    <t>Liten spylebil</t>
  </si>
  <si>
    <t>Rørinspeksjonsbil</t>
  </si>
  <si>
    <t>Spylebil</t>
  </si>
  <si>
    <t xml:space="preserve">Sum investeringer Skole </t>
  </si>
  <si>
    <t xml:space="preserve">Investeringer i Skole </t>
  </si>
  <si>
    <t>Sum investeringer i skole  2018-2021</t>
  </si>
  <si>
    <t>Sum investeringer levekår, konsern 2018-2021</t>
  </si>
  <si>
    <t>Sum investeringer i barnehage  2018-2021</t>
  </si>
  <si>
    <t xml:space="preserve">Investeringer i barnehage </t>
  </si>
  <si>
    <t>Sum investeringer i idrett  2018-2021</t>
  </si>
  <si>
    <t xml:space="preserve">Sum investeringer idrett </t>
  </si>
  <si>
    <t xml:space="preserve">Investeringer i idrett </t>
  </si>
  <si>
    <t xml:space="preserve">Sum investeringer barnehage </t>
  </si>
  <si>
    <t>Sum investeringer i park og vei  2018-2021</t>
  </si>
  <si>
    <t xml:space="preserve">Investeringer i park og vei </t>
  </si>
  <si>
    <t xml:space="preserve">Sum investeringer park og vei </t>
  </si>
  <si>
    <t>Sykkelstrategi 20 mill per år fra 2018 (vedtatt HØP)</t>
  </si>
  <si>
    <t>Sum investeringer i VAR-sektor  2018-2021</t>
  </si>
  <si>
    <t>Endret kostnad</t>
  </si>
  <si>
    <t>GH.endret kostnad</t>
  </si>
  <si>
    <t>Tiltakstype</t>
  </si>
  <si>
    <t xml:space="preserve">Investeringer i avløpsverket </t>
  </si>
  <si>
    <t xml:space="preserve">Investeringer i vannverket </t>
  </si>
  <si>
    <t xml:space="preserve">Sum investeringer vannverket </t>
  </si>
  <si>
    <t>Sum investeringer avløpsverket</t>
  </si>
  <si>
    <t>Kari Trestakkv. 3, 10 boliger (ferdig i 2018)</t>
  </si>
  <si>
    <t xml:space="preserve">Investeringer i renovasjon </t>
  </si>
  <si>
    <t>Sum investeringer renovasjon</t>
  </si>
  <si>
    <t>Sum investeringer diverse bygg og investeringer</t>
  </si>
  <si>
    <t>Sum investeringer i diverse bygg og investeringer 2018-2021</t>
  </si>
  <si>
    <t>Investeringer i diverse bygg og investeringer</t>
  </si>
  <si>
    <t>Sum investeringer i kirkelig fellesråd  2018-2021</t>
  </si>
  <si>
    <t>Investeringer i kirkelig fellesråd</t>
  </si>
  <si>
    <t>Sum investeringer i kirkelig fellesråd</t>
  </si>
  <si>
    <t>GH.endret fremdrift</t>
  </si>
  <si>
    <t>Sum investeringer i SU KF  2018-2021</t>
  </si>
  <si>
    <t>Investeringer i SU KF</t>
  </si>
  <si>
    <t>Sum investeringer i SU KF</t>
  </si>
  <si>
    <t>Gh.endret ramme</t>
  </si>
  <si>
    <t>GH.endret ramme</t>
  </si>
  <si>
    <t>GH.endret ramme og fremdrift</t>
  </si>
  <si>
    <t>Vaulen skole, nybygg og utvidelse  (ferdigstilles i 2022)</t>
  </si>
  <si>
    <t>Ny skole på Storhaug (eks. tomt) (ferdig 2022)</t>
  </si>
  <si>
    <t>Tastaveden skole, rehabilitering (ferdig 2022)</t>
  </si>
  <si>
    <t>Ramme</t>
  </si>
  <si>
    <t>Tomt til barnehage På storhaug</t>
  </si>
  <si>
    <t>Tomt til skole på Storhaug</t>
  </si>
  <si>
    <t>Tomt til barnehage på Våland</t>
  </si>
  <si>
    <t>Tribune Stavanger idrettshall</t>
  </si>
  <si>
    <t xml:space="preserve">Ute område Kannik skole </t>
  </si>
  <si>
    <t>Sentrale admin.bygg- rådhus</t>
  </si>
  <si>
    <t>Grovgarderober på barnehager (ca. 6 barnehager)</t>
  </si>
  <si>
    <t>Haugåsveien 26/28</t>
  </si>
  <si>
    <t>Boliger til flyktninger og vanskeligstilte</t>
  </si>
  <si>
    <t xml:space="preserve"> Uteområde ved Kannik skole</t>
  </si>
  <si>
    <t>Roaldsøy barnehage</t>
  </si>
  <si>
    <t>Haugåsveien 26/28,  bofellesskap for psykisk helse og kommunale boliger (ferdig 2019)</t>
  </si>
  <si>
    <t>Selveierboliger i bofellesskap for personer med UH, 12 boliger (ferdig i 2020)</t>
  </si>
  <si>
    <t>Domkirken 2025</t>
  </si>
  <si>
    <t>Kostnad</t>
  </si>
  <si>
    <t>Folkebadet</t>
  </si>
  <si>
    <t>Tiltak som ikke er innarbeidet i perioden</t>
  </si>
  <si>
    <t>Vedlikehold uteområde omsorgsboliger (per år)</t>
  </si>
  <si>
    <t>Energi tiltak kommunale bygg (5 tiltak)</t>
  </si>
  <si>
    <t>Rehabilitering bruer/kaier (per år)</t>
  </si>
  <si>
    <t>Vedlikehold uteområde barnehager (kostnad per år)</t>
  </si>
  <si>
    <t>Stupetårn Storhaug</t>
  </si>
  <si>
    <t>Ny park Lervig (Europaparken)</t>
  </si>
  <si>
    <t>Miljøgater, fortau, kantstein osv (per år)</t>
  </si>
  <si>
    <t>x</t>
  </si>
  <si>
    <t>Tou scene trinn 3</t>
  </si>
  <si>
    <t>Ny legevakt</t>
  </si>
  <si>
    <t>Per 10. august 2017</t>
  </si>
  <si>
    <t>Effekt i perioden</t>
  </si>
  <si>
    <t>286 mill.</t>
  </si>
  <si>
    <t>-59 mill.</t>
  </si>
  <si>
    <t>210 mill.</t>
  </si>
  <si>
    <t>-55 mill.</t>
  </si>
  <si>
    <t>185 mill.</t>
  </si>
  <si>
    <t>-40 mill.</t>
  </si>
  <si>
    <t>11 mill.</t>
  </si>
  <si>
    <t>-11 mill</t>
  </si>
  <si>
    <t>30 mill.</t>
  </si>
  <si>
    <t>90 mill.</t>
  </si>
  <si>
    <t>-35 mill</t>
  </si>
  <si>
    <t>-20 mill.</t>
  </si>
  <si>
    <t>-50 mill.</t>
  </si>
  <si>
    <t>-11 mill.</t>
  </si>
  <si>
    <t>305 mill.</t>
  </si>
  <si>
    <t>-320 mill.</t>
  </si>
  <si>
    <t>SUM</t>
  </si>
  <si>
    <t>Kostnadsestimat</t>
  </si>
  <si>
    <t>100 mill.</t>
  </si>
  <si>
    <t>Tomter Storhaug og Våland</t>
  </si>
  <si>
    <t>Vedlikehold, uteområde barnehager</t>
  </si>
  <si>
    <t>Vedlikehold, uteområder omsorgsboliger</t>
  </si>
  <si>
    <t>2,5 mill. per år</t>
  </si>
  <si>
    <t>2 mill. per år</t>
  </si>
  <si>
    <t>Øvrige områder</t>
  </si>
  <si>
    <t>Energitiltak kommunale bygg (5 tiltak)</t>
  </si>
  <si>
    <t>84 mill.</t>
  </si>
  <si>
    <t>Touscene trinn 3</t>
  </si>
  <si>
    <t>35 mill.</t>
  </si>
  <si>
    <t>Tribune Stavanger Idrettshall</t>
  </si>
  <si>
    <t>19 mill.</t>
  </si>
  <si>
    <t>Rehabilitering av bruer/kaier</t>
  </si>
  <si>
    <t>5 mill. per år</t>
  </si>
  <si>
    <t>Miljøgater, fortau, kantstein osv</t>
  </si>
  <si>
    <t>7,5 mill. per år</t>
  </si>
  <si>
    <t>8 mill.</t>
  </si>
  <si>
    <t>Rådhuset, rehabilitering</t>
  </si>
  <si>
    <t>Oppvekst</t>
  </si>
  <si>
    <t>Levekår</t>
  </si>
  <si>
    <t>Diverse bygg og felles</t>
  </si>
  <si>
    <t>Skole</t>
  </si>
  <si>
    <t>Barnehage</t>
  </si>
  <si>
    <t>Idrett</t>
  </si>
  <si>
    <t>Park og vei</t>
  </si>
  <si>
    <t>Var</t>
  </si>
  <si>
    <t>Kirkelig fellesråd</t>
  </si>
  <si>
    <t>1,1 mrd.</t>
  </si>
  <si>
    <t>530 mill.</t>
  </si>
  <si>
    <t>588 mill.</t>
  </si>
  <si>
    <t>602 mill.</t>
  </si>
  <si>
    <t>497 mill.</t>
  </si>
  <si>
    <t>340 mill.</t>
  </si>
  <si>
    <t>295 mill.</t>
  </si>
  <si>
    <t>195 mill.</t>
  </si>
  <si>
    <t>Brutto investeringer 2018-2021</t>
  </si>
  <si>
    <t>Tastavarden barnehage, avdeling Smiene, 5 avd.(ferdig i 2020)</t>
  </si>
  <si>
    <t>Grovgarderober på 6 barnehager</t>
  </si>
  <si>
    <t>Ny skole på Storhaug, 21 klasserom (eks. tomt) (ferdig 2022)</t>
  </si>
  <si>
    <t>Idrettshall ved ny skole på Storhaug</t>
  </si>
  <si>
    <t>Omsorgsbygg</t>
  </si>
  <si>
    <t>Sum omsorgsbygg</t>
  </si>
  <si>
    <t>Sum barnehage</t>
  </si>
  <si>
    <t>Sunde og kvernevik bydelshus-rekkefølgekrav</t>
  </si>
  <si>
    <t>Sum park og vei</t>
  </si>
  <si>
    <t>Barnehage med 90 plasser (6 avd.) på Storhaug,  byggekostnader</t>
  </si>
  <si>
    <t>Barnehage med 75 plasser (5 avd.) på Våland,  byggekostnader</t>
  </si>
  <si>
    <t>Grovgarderober 6 barnehager</t>
  </si>
  <si>
    <t>Rehabilitering av Kongsgata (+midler fra flaskehalsprosjektet)</t>
  </si>
  <si>
    <t>Øvrige investeringer</t>
  </si>
  <si>
    <t>Enøk pakke 3, energi- og klimatiltak</t>
  </si>
  <si>
    <t xml:space="preserve">Sum øvrige investeringer </t>
  </si>
  <si>
    <t>Klimasats</t>
  </si>
  <si>
    <t xml:space="preserve"> Energikonverteringer- mulighetsstudie</t>
  </si>
  <si>
    <t>Energikonvertering- skeie skole</t>
  </si>
  <si>
    <t>Teknisk nett</t>
  </si>
  <si>
    <t>Etablererboliger UH- 6 boliger for brukere og 1 base  (ferdig 2020)</t>
  </si>
  <si>
    <t>SUM 2018-2021</t>
  </si>
  <si>
    <t>HØP 2018-2021</t>
  </si>
  <si>
    <t>Barnehagen Tasta (ferdig i 2019)</t>
  </si>
  <si>
    <t>Ytre Tasta barnehage, avd. Vardenes, riving/nybygg, 4 avd. (ferdig 2020)</t>
  </si>
  <si>
    <t>Nye Tou, 2. byggetrinn (ferdig 2019)</t>
  </si>
  <si>
    <t>Skole beredeskap</t>
  </si>
  <si>
    <t>Traffiksikring Jåtten</t>
  </si>
  <si>
    <t>Spillermidler Kvernevik svømmehall</t>
  </si>
  <si>
    <t>Spillemidler Hundvåg svømmehall</t>
  </si>
  <si>
    <t>Husbanktilskudd Oddahagen</t>
  </si>
  <si>
    <t>Husbanktilskudd Kari Trestakkv. 3</t>
  </si>
  <si>
    <t>Bruk av ubudne investeringsfond</t>
  </si>
  <si>
    <t xml:space="preserve">Fredrikke Qvamsgate </t>
  </si>
  <si>
    <t xml:space="preserve">Grovgarderober på 6 barnehager </t>
  </si>
  <si>
    <t xml:space="preserve"> Rehabilitering av bad på 4 sykehjem</t>
  </si>
  <si>
    <t xml:space="preserve"> Omsorgsbygg 2030- mulighetsstudier og prosjektering </t>
  </si>
  <si>
    <t xml:space="preserve"> Boligtilbud til demente- prosjektering</t>
  </si>
  <si>
    <t xml:space="preserve"> Spillemidler kunstgressbaner</t>
  </si>
  <si>
    <t xml:space="preserve"> spillermidler idrettshall ved ny skole på Storhaug</t>
  </si>
  <si>
    <t>Oppstartstilskudd nye omsorgsboliger og bofellesskap (Haugåsveien og Bjørn farmansgate)</t>
  </si>
  <si>
    <t xml:space="preserve">Skoler - investering i IKT/Smartteknologi </t>
  </si>
  <si>
    <t>Nytt datanetverk for tekniske løsninger</t>
  </si>
  <si>
    <t>Nye signalanlegg ved sykehjemmene</t>
  </si>
  <si>
    <t>Rehabilitering av Kongsgata (del finansiert med flaskehalsmidler)</t>
  </si>
  <si>
    <t xml:space="preserve"> Rehabilitering av kunstgessbaner- 3 baner hvert år</t>
  </si>
  <si>
    <t xml:space="preserve"> Sunde og kvernevik bydelshus-  krav til et offentlig torgareal </t>
  </si>
  <si>
    <t>DIVERSE BYGG, ANLEGG OG FELLES INVESTERINGER</t>
  </si>
  <si>
    <t>Energitiltak- Enøkpakke 3</t>
  </si>
  <si>
    <t>Energitiltak- Klimasatsinger</t>
  </si>
  <si>
    <t xml:space="preserve"> Energikonverteringer, mulighetsstudie</t>
  </si>
  <si>
    <t xml:space="preserve">Økt rehabilitering og vedlikehold av kommunale eiendom </t>
  </si>
  <si>
    <t xml:space="preserve">Smartteknologi </t>
  </si>
  <si>
    <t>Nye stavanger, anskaffelser og fornying av IT-systemmer</t>
  </si>
  <si>
    <t>Ytre Tasta barnehagev avd. Eskeland, rehabilitering (ferdig 2021)</t>
  </si>
  <si>
    <t xml:space="preserve"> Rekkefølgekrav, barnehageprosjektene på Tasta</t>
  </si>
  <si>
    <t>Barnehage med 90 plasser (6 avdelinger) på Storhaug,  byggekostnader(ferdig 2021)</t>
  </si>
  <si>
    <t>Barnehage med 75 plasser (5 avdelinger) på Våland,  byggekostnader (ferdig 2021)</t>
  </si>
  <si>
    <t>Ny legevakt, mulighetsstudie</t>
  </si>
  <si>
    <t xml:space="preserve">Sykkelstrategi </t>
  </si>
  <si>
    <t>Cricketbane tilrettelegging</t>
  </si>
  <si>
    <t>Tilskudd fra Enova, energitiltak kommunale bygg trinn 1-3</t>
  </si>
  <si>
    <t>Kreative lekeplasser</t>
  </si>
  <si>
    <t>Olav Kyrres gate 19 inkludert Stavanger svømmehall , rehabilitering (ferdig 2018/2019)</t>
  </si>
  <si>
    <t>Hetlandshallen, dobbelhall (ferdig 2018)</t>
  </si>
  <si>
    <t>Svømmehall varmtvannsbasseng v/Madlamark skole (ferdig 2021)</t>
  </si>
  <si>
    <t>Idrettshall v/Madlamark skole (ferdig  2022)</t>
  </si>
  <si>
    <t>Gautesete skole, rehabilitering og ombygging  (ferdig i 2019)</t>
  </si>
  <si>
    <t>Bjørn Farmannsgt 25, 4 plasser i barnebolig, inkl.parkering (ferdig 2018)</t>
  </si>
  <si>
    <t>Udekket</t>
  </si>
  <si>
    <t>Investeringer 2018-2021, bykassen</t>
  </si>
  <si>
    <t>Sum brutto investeringer, bykassen</t>
  </si>
  <si>
    <r>
      <t xml:space="preserve">HANDLINGS- OG ØKONOMIPLAN 2018-2021    </t>
    </r>
    <r>
      <rPr>
        <b/>
        <i/>
        <sz val="16"/>
        <color rgb="FF00B0F0"/>
        <rFont val="Calibri"/>
        <family val="2"/>
        <scheme val="minor"/>
      </rPr>
      <t>Rådmannens forslag</t>
    </r>
  </si>
  <si>
    <t>LEVEKÅR, SYKEHJEM, BOFELLESSKAP OG BOLIG (eks. Bolig bygg KF)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</si>
</sst>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theme="8"/>
      <name val="Arial"/>
      <family val="2"/>
    </font>
    <font>
      <b/>
      <i/>
      <sz val="11"/>
      <color theme="1" tint="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6"/>
      <color rgb="FF00B0F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5">
    <xf numFmtId="0" fontId="0" fillId="0" borderId="0" xfId="0"/>
    <xf numFmtId="0" fontId="4" fillId="0" borderId="0" xfId="0" applyFont="1" applyFill="1" applyBorder="1"/>
    <xf numFmtId="0" fontId="7" fillId="0" borderId="0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164" fontId="7" fillId="3" borderId="0" xfId="1" applyNumberFormat="1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164" fontId="7" fillId="2" borderId="0" xfId="1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/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0" fontId="4" fillId="2" borderId="4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wrapText="1"/>
    </xf>
    <xf numFmtId="164" fontId="4" fillId="2" borderId="0" xfId="1" applyNumberFormat="1" applyFont="1" applyFill="1" applyBorder="1" applyAlignment="1"/>
    <xf numFmtId="164" fontId="4" fillId="2" borderId="0" xfId="0" applyNumberFormat="1" applyFont="1" applyFill="1" applyBorder="1"/>
    <xf numFmtId="164" fontId="4" fillId="2" borderId="5" xfId="0" applyNumberFormat="1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4" fillId="2" borderId="5" xfId="1" applyNumberFormat="1" applyFont="1" applyFill="1" applyBorder="1" applyAlignment="1"/>
    <xf numFmtId="0" fontId="9" fillId="0" borderId="0" xfId="0" applyFont="1" applyFill="1" applyBorder="1" applyAlignment="1">
      <alignment wrapText="1"/>
    </xf>
    <xf numFmtId="164" fontId="4" fillId="0" borderId="5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7" fillId="4" borderId="4" xfId="0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vertical="center" wrapText="1"/>
    </xf>
    <xf numFmtId="164" fontId="9" fillId="4" borderId="6" xfId="1" applyNumberFormat="1" applyFont="1" applyFill="1" applyBorder="1" applyAlignment="1"/>
    <xf numFmtId="164" fontId="9" fillId="4" borderId="5" xfId="1" applyNumberFormat="1" applyFont="1" applyFill="1" applyBorder="1" applyAlignment="1"/>
    <xf numFmtId="0" fontId="7" fillId="2" borderId="4" xfId="0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4" fontId="7" fillId="0" borderId="0" xfId="1" applyNumberFormat="1" applyFont="1" applyFill="1" applyBorder="1" applyAlignment="1"/>
    <xf numFmtId="164" fontId="7" fillId="0" borderId="0" xfId="0" applyNumberFormat="1" applyFont="1" applyFill="1" applyBorder="1"/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7" xfId="0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vertical="center" wrapText="1"/>
    </xf>
    <xf numFmtId="164" fontId="9" fillId="4" borderId="0" xfId="1" applyNumberFormat="1" applyFont="1" applyFill="1" applyBorder="1" applyAlignment="1"/>
    <xf numFmtId="49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vertical="center" wrapText="1"/>
    </xf>
    <xf numFmtId="164" fontId="4" fillId="5" borderId="0" xfId="1" applyNumberFormat="1" applyFont="1" applyFill="1" applyBorder="1" applyAlignment="1"/>
    <xf numFmtId="164" fontId="4" fillId="5" borderId="0" xfId="0" applyNumberFormat="1" applyFont="1" applyFill="1" applyBorder="1"/>
    <xf numFmtId="164" fontId="4" fillId="5" borderId="5" xfId="0" applyNumberFormat="1" applyFont="1" applyFill="1" applyBorder="1"/>
    <xf numFmtId="0" fontId="4" fillId="2" borderId="0" xfId="0" applyFont="1" applyFill="1" applyBorder="1" applyAlignment="1">
      <alignment wrapText="1"/>
    </xf>
    <xf numFmtId="0" fontId="7" fillId="6" borderId="7" xfId="0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 wrapText="1"/>
    </xf>
    <xf numFmtId="164" fontId="9" fillId="6" borderId="0" xfId="1" applyNumberFormat="1" applyFont="1" applyFill="1" applyBorder="1" applyAlignment="1"/>
    <xf numFmtId="0" fontId="4" fillId="5" borderId="0" xfId="0" applyFont="1" applyFill="1" applyBorder="1"/>
    <xf numFmtId="164" fontId="9" fillId="4" borderId="8" xfId="1" applyNumberFormat="1" applyFont="1" applyFill="1" applyBorder="1" applyAlignment="1"/>
    <xf numFmtId="49" fontId="8" fillId="2" borderId="0" xfId="0" applyNumberFormat="1" applyFont="1" applyFill="1" applyBorder="1" applyAlignment="1">
      <alignment vertical="center" wrapText="1"/>
    </xf>
    <xf numFmtId="0" fontId="10" fillId="0" borderId="0" xfId="0" applyFont="1" applyFill="1" applyBorder="1"/>
    <xf numFmtId="49" fontId="0" fillId="2" borderId="0" xfId="0" applyNumberFormat="1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vertical="center" wrapText="1"/>
    </xf>
    <xf numFmtId="164" fontId="3" fillId="4" borderId="0" xfId="1" applyNumberFormat="1" applyFont="1" applyFill="1" applyBorder="1" applyAlignment="1"/>
    <xf numFmtId="164" fontId="5" fillId="4" borderId="0" xfId="1" applyNumberFormat="1" applyFont="1" applyFill="1" applyBorder="1" applyAlignment="1"/>
    <xf numFmtId="0" fontId="7" fillId="5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164" fontId="7" fillId="5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164" fontId="9" fillId="4" borderId="12" xfId="1" applyNumberFormat="1" applyFont="1" applyFill="1" applyBorder="1" applyAlignment="1"/>
    <xf numFmtId="164" fontId="9" fillId="4" borderId="13" xfId="1" applyNumberFormat="1" applyFont="1" applyFill="1" applyBorder="1" applyAlignment="1"/>
    <xf numFmtId="0" fontId="7" fillId="5" borderId="0" xfId="0" applyFont="1" applyFill="1" applyBorder="1" applyAlignment="1">
      <alignment wrapText="1"/>
    </xf>
    <xf numFmtId="165" fontId="4" fillId="0" borderId="0" xfId="1" applyNumberFormat="1" applyFont="1" applyFill="1" applyBorder="1"/>
    <xf numFmtId="165" fontId="4" fillId="0" borderId="5" xfId="1" applyNumberFormat="1" applyFont="1" applyFill="1" applyBorder="1"/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0" fontId="4" fillId="2" borderId="5" xfId="0" applyFont="1" applyFill="1" applyBorder="1" applyAlignment="1">
      <alignment wrapText="1"/>
    </xf>
    <xf numFmtId="165" fontId="4" fillId="2" borderId="0" xfId="1" applyNumberFormat="1" applyFont="1" applyFill="1" applyBorder="1" applyAlignment="1">
      <alignment wrapText="1"/>
    </xf>
    <xf numFmtId="165" fontId="4" fillId="2" borderId="5" xfId="1" applyNumberFormat="1" applyFont="1" applyFill="1" applyBorder="1" applyAlignment="1">
      <alignment wrapText="1"/>
    </xf>
    <xf numFmtId="164" fontId="7" fillId="4" borderId="0" xfId="1" applyNumberFormat="1" applyFont="1" applyFill="1" applyBorder="1" applyAlignment="1"/>
    <xf numFmtId="9" fontId="9" fillId="4" borderId="0" xfId="2" applyFont="1" applyFill="1" applyBorder="1" applyAlignment="1"/>
    <xf numFmtId="0" fontId="7" fillId="4" borderId="14" xfId="0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vertical="center" wrapText="1"/>
    </xf>
    <xf numFmtId="164" fontId="7" fillId="4" borderId="15" xfId="1" applyNumberFormat="1" applyFont="1" applyFill="1" applyBorder="1" applyAlignment="1"/>
    <xf numFmtId="9" fontId="9" fillId="4" borderId="15" xfId="2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164" fontId="12" fillId="0" borderId="16" xfId="1" applyNumberFormat="1" applyFont="1" applyFill="1" applyBorder="1" applyAlignment="1"/>
    <xf numFmtId="9" fontId="12" fillId="0" borderId="16" xfId="2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164" fontId="6" fillId="3" borderId="2" xfId="1" applyNumberFormat="1" applyFont="1" applyFill="1" applyBorder="1" applyAlignment="1">
      <alignment horizontal="right" wrapText="1"/>
    </xf>
    <xf numFmtId="164" fontId="4" fillId="5" borderId="5" xfId="1" applyNumberFormat="1" applyFont="1" applyFill="1" applyBorder="1" applyAlignment="1"/>
    <xf numFmtId="164" fontId="1" fillId="5" borderId="0" xfId="1" applyNumberFormat="1" applyFont="1" applyFill="1" applyBorder="1" applyAlignment="1"/>
    <xf numFmtId="0" fontId="4" fillId="2" borderId="0" xfId="0" applyFont="1" applyFill="1" applyBorder="1"/>
    <xf numFmtId="164" fontId="4" fillId="4" borderId="0" xfId="1" applyNumberFormat="1" applyFont="1" applyFill="1" applyBorder="1" applyAlignment="1"/>
    <xf numFmtId="49" fontId="0" fillId="5" borderId="0" xfId="0" applyNumberFormat="1" applyFont="1" applyFill="1" applyBorder="1" applyAlignment="1">
      <alignment vertical="center" wrapText="1"/>
    </xf>
    <xf numFmtId="164" fontId="0" fillId="5" borderId="0" xfId="1" applyNumberFormat="1" applyFont="1" applyFill="1" applyBorder="1" applyAlignment="1"/>
    <xf numFmtId="0" fontId="0" fillId="5" borderId="0" xfId="0" applyFont="1" applyFill="1" applyBorder="1"/>
    <xf numFmtId="0" fontId="0" fillId="5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/>
    <xf numFmtId="49" fontId="4" fillId="5" borderId="0" xfId="0" applyNumberFormat="1" applyFont="1" applyFill="1" applyBorder="1" applyAlignment="1">
      <alignment wrapText="1"/>
    </xf>
    <xf numFmtId="49" fontId="7" fillId="5" borderId="0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165" fontId="4" fillId="0" borderId="5" xfId="1" applyNumberFormat="1" applyFont="1" applyFill="1" applyBorder="1" applyAlignment="1">
      <alignment wrapText="1"/>
    </xf>
    <xf numFmtId="164" fontId="9" fillId="2" borderId="0" xfId="1" applyNumberFormat="1" applyFont="1" applyFill="1" applyBorder="1" applyAlignment="1"/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5" borderId="0" xfId="0" applyFont="1" applyFill="1" applyBorder="1"/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wrapText="1"/>
    </xf>
    <xf numFmtId="164" fontId="4" fillId="2" borderId="5" xfId="0" applyNumberFormat="1" applyFont="1" applyFill="1" applyBorder="1" applyAlignment="1">
      <alignment wrapText="1"/>
    </xf>
    <xf numFmtId="1" fontId="4" fillId="0" borderId="0" xfId="1" applyNumberFormat="1" applyFont="1" applyFill="1" applyBorder="1" applyAlignment="1"/>
    <xf numFmtId="1" fontId="4" fillId="2" borderId="0" xfId="1" applyNumberFormat="1" applyFont="1" applyFill="1" applyBorder="1" applyAlignment="1"/>
    <xf numFmtId="0" fontId="4" fillId="4" borderId="11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vertical="center" wrapText="1"/>
    </xf>
    <xf numFmtId="164" fontId="0" fillId="2" borderId="0" xfId="1" applyNumberFormat="1" applyFont="1" applyFill="1" applyBorder="1" applyAlignment="1"/>
    <xf numFmtId="165" fontId="4" fillId="0" borderId="0" xfId="1" applyNumberFormat="1" applyFont="1" applyFill="1" applyBorder="1" applyAlignment="1"/>
    <xf numFmtId="1" fontId="9" fillId="3" borderId="2" xfId="1" applyNumberFormat="1" applyFont="1" applyFill="1" applyBorder="1" applyAlignment="1">
      <alignment horizontal="right" wrapText="1"/>
    </xf>
    <xf numFmtId="0" fontId="9" fillId="3" borderId="2" xfId="0" applyFont="1" applyFill="1" applyBorder="1"/>
    <xf numFmtId="0" fontId="9" fillId="3" borderId="3" xfId="0" applyFont="1" applyFill="1" applyBorder="1"/>
    <xf numFmtId="164" fontId="4" fillId="3" borderId="0" xfId="1" applyNumberFormat="1" applyFont="1" applyFill="1" applyBorder="1" applyAlignment="1"/>
    <xf numFmtId="0" fontId="4" fillId="3" borderId="0" xfId="0" applyFont="1" applyFill="1" applyBorder="1"/>
    <xf numFmtId="0" fontId="4" fillId="3" borderId="5" xfId="0" applyFont="1" applyFill="1" applyBorder="1"/>
    <xf numFmtId="164" fontId="4" fillId="2" borderId="0" xfId="1" applyNumberFormat="1" applyFont="1" applyFill="1" applyBorder="1" applyAlignment="1">
      <alignment horizontal="left"/>
    </xf>
    <xf numFmtId="0" fontId="4" fillId="2" borderId="5" xfId="0" applyFont="1" applyFill="1" applyBorder="1"/>
    <xf numFmtId="164" fontId="4" fillId="5" borderId="10" xfId="1" applyNumberFormat="1" applyFont="1" applyFill="1" applyBorder="1" applyAlignment="1"/>
    <xf numFmtId="0" fontId="4" fillId="0" borderId="5" xfId="0" applyFont="1" applyFill="1" applyBorder="1"/>
    <xf numFmtId="164" fontId="4" fillId="6" borderId="0" xfId="1" applyNumberFormat="1" applyFont="1" applyFill="1" applyBorder="1" applyAlignment="1"/>
    <xf numFmtId="0" fontId="4" fillId="6" borderId="0" xfId="0" applyFont="1" applyFill="1" applyBorder="1" applyAlignment="1">
      <alignment wrapText="1"/>
    </xf>
    <xf numFmtId="165" fontId="4" fillId="2" borderId="0" xfId="1" applyNumberFormat="1" applyFont="1" applyFill="1" applyBorder="1" applyAlignment="1"/>
    <xf numFmtId="164" fontId="2" fillId="0" borderId="0" xfId="0" applyNumberFormat="1" applyFont="1" applyFill="1" applyBorder="1" applyAlignment="1">
      <alignment wrapText="1"/>
    </xf>
    <xf numFmtId="164" fontId="4" fillId="6" borderId="0" xfId="1" applyNumberFormat="1" applyFont="1" applyFill="1" applyBorder="1" applyAlignment="1">
      <alignment horizontal="left"/>
    </xf>
    <xf numFmtId="0" fontId="4" fillId="6" borderId="0" xfId="0" applyFont="1" applyFill="1" applyBorder="1"/>
    <xf numFmtId="1" fontId="4" fillId="6" borderId="2" xfId="1" applyNumberFormat="1" applyFont="1" applyFill="1" applyBorder="1" applyAlignment="1">
      <alignment horizontal="right" wrapText="1"/>
    </xf>
    <xf numFmtId="164" fontId="4" fillId="6" borderId="6" xfId="1" applyNumberFormat="1" applyFont="1" applyFill="1" applyBorder="1" applyAlignment="1"/>
    <xf numFmtId="164" fontId="4" fillId="6" borderId="15" xfId="1" applyNumberFormat="1" applyFont="1" applyFill="1" applyBorder="1" applyAlignment="1"/>
    <xf numFmtId="49" fontId="8" fillId="5" borderId="0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left" vertical="center" wrapText="1"/>
    </xf>
    <xf numFmtId="9" fontId="9" fillId="4" borderId="5" xfId="2" applyFont="1" applyFill="1" applyBorder="1" applyAlignment="1"/>
    <xf numFmtId="9" fontId="9" fillId="4" borderId="17" xfId="2" applyFont="1" applyFill="1" applyBorder="1" applyAlignment="1"/>
    <xf numFmtId="0" fontId="12" fillId="0" borderId="18" xfId="0" applyFont="1" applyFill="1" applyBorder="1" applyAlignment="1">
      <alignment vertical="center" wrapText="1"/>
    </xf>
    <xf numFmtId="164" fontId="12" fillId="0" borderId="19" xfId="1" applyNumberFormat="1" applyFont="1" applyFill="1" applyBorder="1" applyAlignment="1"/>
    <xf numFmtId="0" fontId="12" fillId="0" borderId="20" xfId="0" applyFont="1" applyFill="1" applyBorder="1" applyAlignment="1">
      <alignment vertical="center" wrapText="1"/>
    </xf>
    <xf numFmtId="164" fontId="12" fillId="0" borderId="21" xfId="1" applyNumberFormat="1" applyFont="1" applyFill="1" applyBorder="1" applyAlignment="1"/>
    <xf numFmtId="9" fontId="12" fillId="0" borderId="21" xfId="2" applyFont="1" applyFill="1" applyBorder="1" applyAlignment="1"/>
    <xf numFmtId="0" fontId="12" fillId="0" borderId="22" xfId="0" applyFont="1" applyFill="1" applyBorder="1" applyAlignment="1">
      <alignment vertical="center" wrapText="1"/>
    </xf>
    <xf numFmtId="9" fontId="12" fillId="0" borderId="23" xfId="2" applyFont="1" applyFill="1" applyBorder="1" applyAlignment="1"/>
    <xf numFmtId="0" fontId="4" fillId="0" borderId="0" xfId="0" applyFont="1" applyFill="1" applyBorder="1" applyAlignment="1">
      <alignment vertical="center"/>
    </xf>
    <xf numFmtId="164" fontId="9" fillId="4" borderId="6" xfId="1" applyNumberFormat="1" applyFont="1" applyFill="1" applyBorder="1" applyAlignment="1">
      <alignment vertical="center"/>
    </xf>
    <xf numFmtId="164" fontId="4" fillId="6" borderId="6" xfId="1" applyNumberFormat="1" applyFont="1" applyFill="1" applyBorder="1" applyAlignment="1">
      <alignment vertical="center"/>
    </xf>
    <xf numFmtId="164" fontId="9" fillId="4" borderId="5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164" fontId="4" fillId="6" borderId="0" xfId="1" applyNumberFormat="1" applyFont="1" applyFill="1" applyBorder="1" applyAlignment="1">
      <alignment vertical="center"/>
    </xf>
    <xf numFmtId="164" fontId="9" fillId="6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left" vertical="center" wrapText="1"/>
    </xf>
    <xf numFmtId="164" fontId="9" fillId="4" borderId="0" xfId="1" applyNumberFormat="1" applyFont="1" applyFill="1" applyBorder="1" applyAlignment="1">
      <alignment horizontal="left" vertical="center"/>
    </xf>
    <xf numFmtId="164" fontId="4" fillId="6" borderId="0" xfId="1" applyNumberFormat="1" applyFont="1" applyFill="1" applyBorder="1" applyAlignment="1">
      <alignment horizontal="left" vertical="center"/>
    </xf>
    <xf numFmtId="164" fontId="9" fillId="4" borderId="6" xfId="1" applyNumberFormat="1" applyFont="1" applyFill="1" applyBorder="1" applyAlignment="1">
      <alignment horizontal="left" vertical="center"/>
    </xf>
    <xf numFmtId="164" fontId="9" fillId="4" borderId="8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3" fillId="4" borderId="0" xfId="1" applyNumberFormat="1" applyFont="1" applyFill="1" applyBorder="1" applyAlignment="1">
      <alignment vertical="center"/>
    </xf>
    <xf numFmtId="164" fontId="5" fillId="4" borderId="0" xfId="1" applyNumberFormat="1" applyFont="1" applyFill="1" applyBorder="1" applyAlignment="1">
      <alignment vertical="center"/>
    </xf>
    <xf numFmtId="164" fontId="9" fillId="4" borderId="12" xfId="1" applyNumberFormat="1" applyFont="1" applyFill="1" applyBorder="1" applyAlignment="1">
      <alignment vertical="center"/>
    </xf>
    <xf numFmtId="164" fontId="9" fillId="4" borderId="1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4" borderId="0" xfId="1" applyNumberFormat="1" applyFont="1" applyFill="1" applyBorder="1" applyAlignment="1">
      <alignment vertical="center"/>
    </xf>
    <xf numFmtId="0" fontId="5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164" fontId="6" fillId="3" borderId="25" xfId="1" applyNumberFormat="1" applyFont="1" applyFill="1" applyBorder="1" applyAlignment="1">
      <alignment horizontal="right" wrapText="1"/>
    </xf>
    <xf numFmtId="1" fontId="4" fillId="6" borderId="25" xfId="1" applyNumberFormat="1" applyFont="1" applyFill="1" applyBorder="1" applyAlignment="1">
      <alignment horizontal="right" wrapText="1"/>
    </xf>
    <xf numFmtId="1" fontId="9" fillId="3" borderId="25" xfId="1" applyNumberFormat="1" applyFont="1" applyFill="1" applyBorder="1" applyAlignment="1">
      <alignment horizontal="right" wrapText="1"/>
    </xf>
    <xf numFmtId="0" fontId="9" fillId="3" borderId="25" xfId="0" applyFont="1" applyFill="1" applyBorder="1"/>
    <xf numFmtId="0" fontId="9" fillId="3" borderId="26" xfId="0" applyFont="1" applyFill="1" applyBorder="1"/>
    <xf numFmtId="0" fontId="4" fillId="7" borderId="4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vertical="center" wrapText="1"/>
    </xf>
    <xf numFmtId="164" fontId="4" fillId="7" borderId="0" xfId="1" applyNumberFormat="1" applyFont="1" applyFill="1" applyBorder="1" applyAlignment="1"/>
    <xf numFmtId="164" fontId="4" fillId="7" borderId="0" xfId="0" applyNumberFormat="1" applyFont="1" applyFill="1" applyBorder="1"/>
    <xf numFmtId="164" fontId="4" fillId="7" borderId="5" xfId="0" applyNumberFormat="1" applyFont="1" applyFill="1" applyBorder="1"/>
    <xf numFmtId="165" fontId="4" fillId="7" borderId="0" xfId="1" applyNumberFormat="1" applyFont="1" applyFill="1" applyBorder="1" applyAlignment="1"/>
    <xf numFmtId="0" fontId="7" fillId="7" borderId="4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vertical="center" wrapText="1"/>
    </xf>
    <xf numFmtId="164" fontId="7" fillId="7" borderId="0" xfId="1" applyNumberFormat="1" applyFont="1" applyFill="1" applyBorder="1" applyAlignment="1"/>
    <xf numFmtId="0" fontId="4" fillId="7" borderId="0" xfId="0" applyFont="1" applyFill="1" applyBorder="1" applyAlignment="1">
      <alignment wrapText="1"/>
    </xf>
    <xf numFmtId="49" fontId="0" fillId="7" borderId="0" xfId="0" applyNumberFormat="1" applyFont="1" applyFill="1" applyBorder="1" applyAlignment="1">
      <alignment vertical="center" wrapText="1"/>
    </xf>
    <xf numFmtId="164" fontId="0" fillId="7" borderId="0" xfId="1" applyNumberFormat="1" applyFont="1" applyFill="1" applyBorder="1" applyAlignment="1"/>
    <xf numFmtId="165" fontId="0" fillId="7" borderId="0" xfId="1" applyNumberFormat="1" applyFont="1" applyFill="1" applyBorder="1" applyAlignment="1">
      <alignment wrapText="1"/>
    </xf>
    <xf numFmtId="165" fontId="0" fillId="7" borderId="5" xfId="1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/>
    <xf numFmtId="164" fontId="9" fillId="0" borderId="0" xfId="0" applyNumberFormat="1" applyFont="1" applyFill="1" applyBorder="1" applyAlignment="1">
      <alignment wrapText="1"/>
    </xf>
    <xf numFmtId="43" fontId="4" fillId="0" borderId="0" xfId="1" applyFont="1" applyFill="1" applyBorder="1" applyAlignment="1">
      <alignment wrapText="1"/>
    </xf>
    <xf numFmtId="43" fontId="4" fillId="0" borderId="0" xfId="0" applyNumberFormat="1" applyFont="1" applyFill="1" applyBorder="1" applyAlignment="1">
      <alignment wrapText="1"/>
    </xf>
    <xf numFmtId="164" fontId="15" fillId="2" borderId="0" xfId="1" applyNumberFormat="1" applyFont="1" applyFill="1" applyBorder="1" applyAlignment="1"/>
    <xf numFmtId="164" fontId="0" fillId="0" borderId="0" xfId="1" applyNumberFormat="1" applyFont="1" applyFill="1" applyBorder="1" applyAlignment="1"/>
    <xf numFmtId="164" fontId="0" fillId="0" borderId="0" xfId="0" applyNumberFormat="1" applyFont="1" applyFill="1" applyBorder="1"/>
    <xf numFmtId="164" fontId="1" fillId="0" borderId="0" xfId="1" applyNumberFormat="1" applyFont="1" applyFill="1" applyBorder="1" applyAlignment="1"/>
    <xf numFmtId="164" fontId="15" fillId="2" borderId="5" xfId="1" applyNumberFormat="1" applyFont="1" applyFill="1" applyBorder="1" applyAlignment="1"/>
    <xf numFmtId="165" fontId="0" fillId="0" borderId="0" xfId="1" applyNumberFormat="1" applyFont="1"/>
    <xf numFmtId="0" fontId="0" fillId="0" borderId="0" xfId="0" applyAlignment="1">
      <alignment wrapText="1"/>
    </xf>
    <xf numFmtId="164" fontId="2" fillId="0" borderId="0" xfId="1" applyNumberFormat="1" applyFont="1" applyFill="1" applyBorder="1" applyAlignment="1"/>
    <xf numFmtId="164" fontId="2" fillId="0" borderId="0" xfId="0" applyNumberFormat="1" applyFont="1" applyFill="1" applyBorder="1"/>
    <xf numFmtId="164" fontId="2" fillId="0" borderId="5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164" fontId="4" fillId="2" borderId="0" xfId="1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wrapText="1"/>
    </xf>
    <xf numFmtId="49" fontId="0" fillId="5" borderId="0" xfId="0" applyNumberFormat="1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164" fontId="4" fillId="0" borderId="5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0" fillId="5" borderId="4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 vertical="top"/>
    </xf>
    <xf numFmtId="49" fontId="0" fillId="5" borderId="0" xfId="0" applyNumberFormat="1" applyFont="1" applyFill="1" applyBorder="1" applyAlignment="1">
      <alignment horizontal="left" vertical="top" wrapText="1"/>
    </xf>
    <xf numFmtId="164" fontId="0" fillId="5" borderId="0" xfId="1" applyNumberFormat="1" applyFont="1" applyFill="1" applyBorder="1" applyAlignment="1">
      <alignment vertical="top"/>
    </xf>
    <xf numFmtId="164" fontId="0" fillId="5" borderId="0" xfId="0" applyNumberFormat="1" applyFont="1" applyFill="1" applyBorder="1" applyAlignment="1">
      <alignment vertical="top"/>
    </xf>
    <xf numFmtId="164" fontId="4" fillId="5" borderId="5" xfId="0" applyNumberFormat="1" applyFont="1" applyFill="1" applyBorder="1" applyAlignment="1">
      <alignment vertical="top"/>
    </xf>
    <xf numFmtId="165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4" fontId="0" fillId="0" borderId="5" xfId="0" applyNumberFormat="1" applyFont="1" applyFill="1" applyBorder="1" applyAlignment="1">
      <alignment vertical="top"/>
    </xf>
    <xf numFmtId="49" fontId="15" fillId="2" borderId="0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/>
    <xf numFmtId="49" fontId="9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5" fontId="2" fillId="0" borderId="0" xfId="1" applyNumberFormat="1" applyFont="1"/>
    <xf numFmtId="0" fontId="2" fillId="0" borderId="0" xfId="0" applyFont="1"/>
    <xf numFmtId="49" fontId="9" fillId="4" borderId="14" xfId="0" applyNumberFormat="1" applyFont="1" applyFill="1" applyBorder="1" applyAlignment="1">
      <alignment horizontal="left" vertical="center" wrapText="1"/>
    </xf>
    <xf numFmtId="164" fontId="9" fillId="4" borderId="15" xfId="1" applyNumberFormat="1" applyFont="1" applyFill="1" applyBorder="1" applyAlignment="1">
      <alignment horizontal="left" vertical="center"/>
    </xf>
    <xf numFmtId="164" fontId="3" fillId="4" borderId="15" xfId="1" applyNumberFormat="1" applyFont="1" applyFill="1" applyBorder="1" applyAlignment="1">
      <alignment horizontal="left" vertical="center"/>
    </xf>
    <xf numFmtId="165" fontId="0" fillId="0" borderId="0" xfId="1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0" borderId="0" xfId="1" applyNumberFormat="1" applyFont="1" applyFill="1" applyBorder="1" applyAlignment="1"/>
    <xf numFmtId="164" fontId="8" fillId="4" borderId="15" xfId="1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/>
    </xf>
    <xf numFmtId="165" fontId="0" fillId="0" borderId="0" xfId="1" applyNumberFormat="1" applyFont="1" applyFill="1" applyBorder="1"/>
    <xf numFmtId="0" fontId="0" fillId="4" borderId="1" xfId="0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left" vertical="center" wrapText="1"/>
    </xf>
    <xf numFmtId="164" fontId="3" fillId="4" borderId="17" xfId="1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 wrapText="1"/>
    </xf>
    <xf numFmtId="49" fontId="9" fillId="4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164" fontId="19" fillId="0" borderId="0" xfId="1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9" fillId="4" borderId="24" xfId="0" applyNumberFormat="1" applyFont="1" applyFill="1" applyBorder="1" applyAlignment="1">
      <alignment horizontal="left" vertical="center" wrapText="1"/>
    </xf>
    <xf numFmtId="49" fontId="9" fillId="4" borderId="25" xfId="0" applyNumberFormat="1" applyFont="1" applyFill="1" applyBorder="1" applyAlignment="1">
      <alignment horizontal="left" vertical="center" wrapText="1"/>
    </xf>
    <xf numFmtId="164" fontId="9" fillId="4" borderId="25" xfId="1" applyNumberFormat="1" applyFont="1" applyFill="1" applyBorder="1" applyAlignment="1">
      <alignment horizontal="left" vertical="center" wrapText="1"/>
    </xf>
    <xf numFmtId="164" fontId="8" fillId="4" borderId="25" xfId="1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/>
    <xf numFmtId="0" fontId="0" fillId="0" borderId="0" xfId="0" applyFill="1" applyBorder="1"/>
    <xf numFmtId="0" fontId="16" fillId="6" borderId="0" xfId="0" applyFont="1" applyFill="1" applyBorder="1" applyAlignment="1">
      <alignment vertical="top" wrapText="1"/>
    </xf>
    <xf numFmtId="164" fontId="6" fillId="6" borderId="0" xfId="1" applyNumberFormat="1" applyFont="1" applyFill="1" applyBorder="1" applyAlignment="1">
      <alignment horizontal="left" vertical="top" wrapText="1"/>
    </xf>
    <xf numFmtId="1" fontId="8" fillId="6" borderId="0" xfId="1" applyNumberFormat="1" applyFont="1" applyFill="1" applyBorder="1" applyAlignment="1">
      <alignment horizontal="right" vertical="top" wrapText="1"/>
    </xf>
    <xf numFmtId="1" fontId="6" fillId="6" borderId="0" xfId="1" applyNumberFormat="1" applyFont="1" applyFill="1" applyBorder="1" applyAlignment="1">
      <alignment horizontal="right" vertical="top" wrapText="1"/>
    </xf>
    <xf numFmtId="0" fontId="0" fillId="6" borderId="0" xfId="0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/>
    <xf numFmtId="0" fontId="0" fillId="0" borderId="0" xfId="0" applyFont="1"/>
    <xf numFmtId="0" fontId="3" fillId="0" borderId="0" xfId="0" applyFont="1" applyFill="1"/>
    <xf numFmtId="164" fontId="3" fillId="0" borderId="0" xfId="1" applyNumberFormat="1" applyFont="1" applyFill="1" applyBorder="1" applyAlignment="1"/>
    <xf numFmtId="166" fontId="3" fillId="4" borderId="25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20" fillId="0" borderId="0" xfId="0" applyFont="1"/>
    <xf numFmtId="0" fontId="3" fillId="0" borderId="24" xfId="0" applyFont="1" applyBorder="1"/>
    <xf numFmtId="0" fontId="3" fillId="0" borderId="25" xfId="0" applyFont="1" applyBorder="1"/>
    <xf numFmtId="165" fontId="3" fillId="0" borderId="25" xfId="1" applyNumberFormat="1" applyFont="1" applyBorder="1"/>
    <xf numFmtId="165" fontId="3" fillId="0" borderId="26" xfId="1" applyNumberFormat="1" applyFont="1" applyBorder="1"/>
    <xf numFmtId="0" fontId="0" fillId="0" borderId="24" xfId="0" applyBorder="1"/>
    <xf numFmtId="165" fontId="0" fillId="0" borderId="25" xfId="1" applyNumberFormat="1" applyFont="1" applyBorder="1"/>
    <xf numFmtId="166" fontId="9" fillId="4" borderId="26" xfId="1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/>
    <xf numFmtId="0" fontId="0" fillId="0" borderId="4" xfId="0" applyBorder="1"/>
    <xf numFmtId="165" fontId="25" fillId="9" borderId="25" xfId="0" applyNumberFormat="1" applyFont="1" applyFill="1" applyBorder="1"/>
    <xf numFmtId="0" fontId="24" fillId="9" borderId="25" xfId="0" applyFont="1" applyFill="1" applyBorder="1"/>
    <xf numFmtId="0" fontId="24" fillId="9" borderId="26" xfId="0" applyFont="1" applyFill="1" applyBorder="1"/>
    <xf numFmtId="0" fontId="3" fillId="8" borderId="4" xfId="0" applyFont="1" applyFill="1" applyBorder="1"/>
    <xf numFmtId="0" fontId="3" fillId="8" borderId="0" xfId="0" applyFont="1" applyFill="1" applyBorder="1"/>
    <xf numFmtId="165" fontId="3" fillId="8" borderId="0" xfId="1" applyNumberFormat="1" applyFont="1" applyFill="1" applyBorder="1"/>
    <xf numFmtId="1" fontId="3" fillId="8" borderId="0" xfId="1" applyNumberFormat="1" applyFont="1" applyFill="1" applyBorder="1" applyAlignment="1">
      <alignment horizontal="center"/>
    </xf>
    <xf numFmtId="1" fontId="3" fillId="8" borderId="5" xfId="1" applyNumberFormat="1" applyFon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5" xfId="1" applyNumberFormat="1" applyFont="1" applyBorder="1"/>
    <xf numFmtId="165" fontId="26" fillId="9" borderId="25" xfId="1" applyNumberFormat="1" applyFont="1" applyFill="1" applyBorder="1"/>
    <xf numFmtId="165" fontId="26" fillId="9" borderId="26" xfId="1" applyNumberFormat="1" applyFont="1" applyFill="1" applyBorder="1"/>
    <xf numFmtId="0" fontId="3" fillId="0" borderId="0" xfId="0" applyFont="1" applyBorder="1"/>
    <xf numFmtId="165" fontId="3" fillId="0" borderId="0" xfId="1" applyNumberFormat="1" applyFont="1" applyBorder="1"/>
    <xf numFmtId="0" fontId="27" fillId="8" borderId="25" xfId="0" applyFont="1" applyFill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0" fontId="26" fillId="0" borderId="0" xfId="0" applyFont="1" applyFill="1" applyBorder="1" applyAlignment="1">
      <alignment horizontal="right"/>
    </xf>
    <xf numFmtId="165" fontId="26" fillId="0" borderId="0" xfId="1" applyNumberFormat="1" applyFont="1" applyFill="1" applyBorder="1"/>
    <xf numFmtId="165" fontId="20" fillId="0" borderId="2" xfId="1" applyNumberFormat="1" applyFont="1" applyBorder="1"/>
    <xf numFmtId="165" fontId="20" fillId="0" borderId="3" xfId="1" applyNumberFormat="1" applyFont="1" applyBorder="1"/>
    <xf numFmtId="0" fontId="25" fillId="0" borderId="0" xfId="0" applyFont="1" applyFill="1" applyBorder="1" applyAlignment="1">
      <alignment horizontal="right"/>
    </xf>
    <xf numFmtId="165" fontId="25" fillId="0" borderId="0" xfId="0" applyNumberFormat="1" applyFont="1" applyFill="1" applyBorder="1"/>
    <xf numFmtId="0" fontId="24" fillId="0" borderId="0" xfId="0" applyFont="1" applyFill="1" applyBorder="1"/>
    <xf numFmtId="165" fontId="0" fillId="0" borderId="26" xfId="1" applyNumberFormat="1" applyFont="1" applyBorder="1"/>
    <xf numFmtId="0" fontId="2" fillId="0" borderId="4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4" xfId="0" applyFont="1" applyBorder="1"/>
    <xf numFmtId="165" fontId="4" fillId="0" borderId="0" xfId="1" applyNumberFormat="1" applyFont="1" applyBorder="1"/>
    <xf numFmtId="165" fontId="4" fillId="0" borderId="5" xfId="1" applyNumberFormat="1" applyFont="1" applyBorder="1"/>
    <xf numFmtId="0" fontId="26" fillId="5" borderId="0" xfId="0" applyFont="1" applyFill="1" applyBorder="1" applyAlignment="1">
      <alignment horizontal="right"/>
    </xf>
    <xf numFmtId="165" fontId="26" fillId="5" borderId="0" xfId="1" applyNumberFormat="1" applyFont="1" applyFill="1" applyBorder="1"/>
    <xf numFmtId="0" fontId="0" fillId="5" borderId="0" xfId="0" applyFill="1" applyBorder="1"/>
    <xf numFmtId="0" fontId="27" fillId="8" borderId="24" xfId="0" applyFont="1" applyFill="1" applyBorder="1" applyAlignment="1">
      <alignment vertical="center"/>
    </xf>
    <xf numFmtId="165" fontId="27" fillId="8" borderId="25" xfId="1" applyNumberFormat="1" applyFont="1" applyFill="1" applyBorder="1" applyAlignment="1">
      <alignment vertical="center"/>
    </xf>
    <xf numFmtId="165" fontId="27" fillId="8" borderId="26" xfId="1" applyNumberFormat="1" applyFont="1" applyFill="1" applyBorder="1" applyAlignment="1">
      <alignment vertical="center"/>
    </xf>
    <xf numFmtId="165" fontId="0" fillId="0" borderId="0" xfId="0" applyNumberFormat="1"/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 wrapText="1"/>
    </xf>
    <xf numFmtId="165" fontId="3" fillId="0" borderId="0" xfId="1" applyNumberFormat="1" applyFont="1" applyFill="1"/>
    <xf numFmtId="0" fontId="0" fillId="0" borderId="0" xfId="0" applyAlignment="1">
      <alignment horizontal="left" vertical="top" wrapText="1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5" xfId="1" quotePrefix="1" applyNumberFormat="1" applyFont="1" applyBorder="1" applyAlignment="1">
      <alignment horizontal="right"/>
    </xf>
    <xf numFmtId="0" fontId="0" fillId="0" borderId="14" xfId="0" applyBorder="1"/>
    <xf numFmtId="165" fontId="0" fillId="0" borderId="15" xfId="1" applyNumberFormat="1" applyFont="1" applyBorder="1" applyAlignment="1">
      <alignment horizontal="center"/>
    </xf>
    <xf numFmtId="165" fontId="0" fillId="0" borderId="17" xfId="1" quotePrefix="1" applyNumberFormat="1" applyFont="1" applyBorder="1" applyAlignment="1">
      <alignment horizontal="right"/>
    </xf>
    <xf numFmtId="0" fontId="30" fillId="8" borderId="1" xfId="0" applyFont="1" applyFill="1" applyBorder="1" applyAlignment="1">
      <alignment vertical="center"/>
    </xf>
    <xf numFmtId="165" fontId="30" fillId="8" borderId="2" xfId="1" applyNumberFormat="1" applyFont="1" applyFill="1" applyBorder="1" applyAlignment="1">
      <alignment vertical="center"/>
    </xf>
    <xf numFmtId="165" fontId="30" fillId="8" borderId="3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center"/>
    </xf>
    <xf numFmtId="165" fontId="3" fillId="0" borderId="0" xfId="1" applyNumberFormat="1" applyFont="1"/>
    <xf numFmtId="165" fontId="3" fillId="0" borderId="0" xfId="1" quotePrefix="1" applyNumberFormat="1" applyFont="1" applyAlignment="1">
      <alignment horizontal="right"/>
    </xf>
    <xf numFmtId="0" fontId="30" fillId="9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31" fillId="9" borderId="0" xfId="0" applyFont="1" applyFill="1" applyBorder="1" applyAlignment="1">
      <alignment vertical="top" wrapText="1"/>
    </xf>
    <xf numFmtId="165" fontId="25" fillId="9" borderId="0" xfId="0" applyNumberFormat="1" applyFont="1" applyFill="1" applyBorder="1"/>
    <xf numFmtId="0" fontId="24" fillId="9" borderId="0" xfId="0" applyFont="1" applyFill="1" applyBorder="1"/>
    <xf numFmtId="165" fontId="20" fillId="0" borderId="0" xfId="1" applyNumberFormat="1" applyFont="1" applyBorder="1"/>
    <xf numFmtId="0" fontId="30" fillId="10" borderId="0" xfId="0" applyFont="1" applyFill="1" applyBorder="1"/>
    <xf numFmtId="0" fontId="30" fillId="10" borderId="0" xfId="0" applyFont="1" applyFill="1" applyBorder="1" applyAlignment="1">
      <alignment horizontal="center"/>
    </xf>
    <xf numFmtId="0" fontId="21" fillId="0" borderId="0" xfId="0" applyFont="1" applyBorder="1"/>
    <xf numFmtId="0" fontId="0" fillId="0" borderId="0" xfId="0" applyFont="1" applyBorder="1"/>
    <xf numFmtId="0" fontId="3" fillId="6" borderId="0" xfId="0" applyFont="1" applyFill="1" applyBorder="1"/>
    <xf numFmtId="165" fontId="3" fillId="6" borderId="0" xfId="1" applyNumberFormat="1" applyFont="1" applyFill="1" applyBorder="1"/>
    <xf numFmtId="0" fontId="21" fillId="0" borderId="0" xfId="0" applyFont="1" applyFill="1" applyBorder="1"/>
    <xf numFmtId="165" fontId="3" fillId="3" borderId="0" xfId="0" applyNumberFormat="1" applyFont="1" applyFill="1" applyBorder="1" applyAlignment="1">
      <alignment horizontal="left" vertical="center"/>
    </xf>
    <xf numFmtId="165" fontId="3" fillId="3" borderId="0" xfId="1" applyNumberFormat="1" applyFont="1" applyFill="1" applyBorder="1" applyAlignment="1">
      <alignment horizontal="left" vertical="center"/>
    </xf>
    <xf numFmtId="0" fontId="0" fillId="0" borderId="0" xfId="0" applyFill="1"/>
    <xf numFmtId="165" fontId="21" fillId="6" borderId="0" xfId="1" applyNumberFormat="1" applyFont="1" applyFill="1" applyBorder="1"/>
    <xf numFmtId="165" fontId="21" fillId="3" borderId="0" xfId="1" applyNumberFormat="1" applyFont="1" applyFill="1" applyBorder="1" applyAlignment="1">
      <alignment horizontal="left" vertical="center"/>
    </xf>
    <xf numFmtId="0" fontId="28" fillId="2" borderId="25" xfId="0" applyFont="1" applyFill="1" applyBorder="1" applyAlignment="1">
      <alignment horizontal="right" vertical="top"/>
    </xf>
    <xf numFmtId="0" fontId="28" fillId="2" borderId="26" xfId="0" applyFont="1" applyFill="1" applyBorder="1" applyAlignment="1">
      <alignment horizontal="center" vertical="top"/>
    </xf>
    <xf numFmtId="0" fontId="0" fillId="4" borderId="14" xfId="0" applyFont="1" applyFill="1" applyBorder="1" applyAlignment="1">
      <alignment horizontal="right"/>
    </xf>
    <xf numFmtId="49" fontId="3" fillId="4" borderId="15" xfId="0" applyNumberFormat="1" applyFont="1" applyFill="1" applyBorder="1" applyAlignment="1">
      <alignment horizontal="left" vertical="center" wrapText="1"/>
    </xf>
    <xf numFmtId="9" fontId="3" fillId="4" borderId="15" xfId="2" applyFont="1" applyFill="1" applyBorder="1" applyAlignment="1"/>
    <xf numFmtId="9" fontId="3" fillId="4" borderId="17" xfId="2" applyFont="1" applyFill="1" applyBorder="1" applyAlignment="1"/>
    <xf numFmtId="0" fontId="4" fillId="4" borderId="24" xfId="0" applyFont="1" applyFill="1" applyBorder="1" applyAlignment="1">
      <alignment horizontal="right" vertical="center"/>
    </xf>
    <xf numFmtId="49" fontId="3" fillId="4" borderId="25" xfId="0" applyNumberFormat="1" applyFont="1" applyFill="1" applyBorder="1" applyAlignment="1">
      <alignment horizontal="left" vertical="center" wrapText="1"/>
    </xf>
    <xf numFmtId="164" fontId="3" fillId="4" borderId="25" xfId="1" applyNumberFormat="1" applyFont="1" applyFill="1" applyBorder="1" applyAlignment="1"/>
    <xf numFmtId="164" fontId="3" fillId="4" borderId="26" xfId="1" applyNumberFormat="1" applyFont="1" applyFill="1" applyBorder="1" applyAlignment="1"/>
    <xf numFmtId="0" fontId="3" fillId="2" borderId="1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left" vertical="center" wrapText="1"/>
    </xf>
    <xf numFmtId="164" fontId="4" fillId="2" borderId="2" xfId="1" applyNumberFormat="1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7" fillId="4" borderId="14" xfId="0" applyFont="1" applyFill="1" applyBorder="1" applyAlignment="1">
      <alignment horizontal="right" vertical="center"/>
    </xf>
    <xf numFmtId="49" fontId="9" fillId="4" borderId="27" xfId="0" applyNumberFormat="1" applyFont="1" applyFill="1" applyBorder="1" applyAlignment="1">
      <alignment horizontal="left" vertical="center" wrapText="1"/>
    </xf>
    <xf numFmtId="164" fontId="9" fillId="4" borderId="27" xfId="1" applyNumberFormat="1" applyFont="1" applyFill="1" applyBorder="1" applyAlignment="1">
      <alignment vertical="center"/>
    </xf>
    <xf numFmtId="164" fontId="9" fillId="4" borderId="28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right"/>
    </xf>
    <xf numFmtId="164" fontId="4" fillId="2" borderId="2" xfId="1" applyNumberFormat="1" applyFont="1" applyFill="1" applyBorder="1" applyAlignment="1"/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0" fontId="9" fillId="4" borderId="29" xfId="0" applyFont="1" applyFill="1" applyBorder="1" applyAlignment="1">
      <alignment horizontal="right" vertical="center"/>
    </xf>
    <xf numFmtId="164" fontId="9" fillId="4" borderId="15" xfId="1" applyNumberFormat="1" applyFont="1" applyFill="1" applyBorder="1" applyAlignment="1">
      <alignment vertical="center"/>
    </xf>
    <xf numFmtId="164" fontId="9" fillId="4" borderId="17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top"/>
    </xf>
    <xf numFmtId="0" fontId="7" fillId="4" borderId="29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top"/>
    </xf>
    <xf numFmtId="0" fontId="7" fillId="4" borderId="14" xfId="0" applyFont="1" applyFill="1" applyBorder="1" applyAlignment="1">
      <alignment horizontal="right"/>
    </xf>
    <xf numFmtId="164" fontId="9" fillId="4" borderId="15" xfId="1" applyNumberFormat="1" applyFont="1" applyFill="1" applyBorder="1" applyAlignment="1"/>
    <xf numFmtId="164" fontId="9" fillId="4" borderId="17" xfId="1" applyNumberFormat="1" applyFont="1" applyFill="1" applyBorder="1" applyAlignment="1"/>
    <xf numFmtId="164" fontId="4" fillId="2" borderId="3" xfId="1" applyNumberFormat="1" applyFont="1" applyFill="1" applyBorder="1" applyAlignment="1"/>
    <xf numFmtId="0" fontId="7" fillId="4" borderId="29" xfId="0" applyFont="1" applyFill="1" applyBorder="1" applyAlignment="1">
      <alignment horizontal="right"/>
    </xf>
    <xf numFmtId="0" fontId="5" fillId="4" borderId="29" xfId="0" applyFont="1" applyFill="1" applyBorder="1" applyAlignment="1">
      <alignment horizontal="right"/>
    </xf>
    <xf numFmtId="164" fontId="3" fillId="4" borderId="25" xfId="1" applyNumberFormat="1" applyFont="1" applyFill="1" applyBorder="1" applyAlignment="1">
      <alignment vertical="center"/>
    </xf>
    <xf numFmtId="164" fontId="3" fillId="4" borderId="26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164" fontId="0" fillId="0" borderId="2" xfId="1" applyNumberFormat="1" applyFont="1" applyFill="1" applyBorder="1" applyAlignment="1"/>
    <xf numFmtId="0" fontId="0" fillId="0" borderId="2" xfId="0" applyFont="1" applyFill="1" applyBorder="1"/>
    <xf numFmtId="0" fontId="0" fillId="0" borderId="3" xfId="0" applyFont="1" applyFill="1" applyBorder="1"/>
    <xf numFmtId="164" fontId="3" fillId="4" borderId="15" xfId="1" applyNumberFormat="1" applyFont="1" applyFill="1" applyBorder="1" applyAlignment="1"/>
    <xf numFmtId="164" fontId="3" fillId="4" borderId="17" xfId="1" applyNumberFormat="1" applyFont="1" applyFill="1" applyBorder="1" applyAlignment="1"/>
    <xf numFmtId="0" fontId="0" fillId="4" borderId="24" xfId="0" applyFont="1" applyFill="1" applyBorder="1" applyAlignment="1">
      <alignment horizontal="right"/>
    </xf>
    <xf numFmtId="9" fontId="3" fillId="4" borderId="2" xfId="2" applyFont="1" applyFill="1" applyBorder="1" applyAlignment="1"/>
    <xf numFmtId="9" fontId="3" fillId="4" borderId="3" xfId="2" applyFont="1" applyFill="1" applyBorder="1" applyAlignment="1"/>
    <xf numFmtId="164" fontId="17" fillId="0" borderId="0" xfId="1" applyNumberFormat="1" applyFont="1" applyFill="1" applyBorder="1" applyAlignment="1">
      <alignment horizontal="center" vertical="top"/>
    </xf>
    <xf numFmtId="164" fontId="17" fillId="2" borderId="0" xfId="1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/>
    <xf numFmtId="164" fontId="17" fillId="2" borderId="2" xfId="1" applyNumberFormat="1" applyFont="1" applyFill="1" applyBorder="1" applyAlignment="1">
      <alignment horizontal="right"/>
    </xf>
    <xf numFmtId="164" fontId="18" fillId="4" borderId="27" xfId="1" applyNumberFormat="1" applyFont="1" applyFill="1" applyBorder="1" applyAlignment="1">
      <alignment horizontal="right" vertical="center"/>
    </xf>
    <xf numFmtId="164" fontId="17" fillId="0" borderId="0" xfId="1" applyNumberFormat="1" applyFont="1" applyFill="1" applyBorder="1" applyAlignment="1">
      <alignment horizontal="right" vertical="top"/>
    </xf>
    <xf numFmtId="164" fontId="17" fillId="2" borderId="0" xfId="1" applyNumberFormat="1" applyFont="1" applyFill="1" applyBorder="1" applyAlignment="1">
      <alignment horizontal="right" vertical="top"/>
    </xf>
    <xf numFmtId="164" fontId="18" fillId="4" borderId="15" xfId="1" applyNumberFormat="1" applyFont="1" applyFill="1" applyBorder="1" applyAlignment="1">
      <alignment horizontal="right" vertical="center"/>
    </xf>
    <xf numFmtId="164" fontId="17" fillId="5" borderId="0" xfId="1" applyNumberFormat="1" applyFont="1" applyFill="1" applyBorder="1" applyAlignment="1">
      <alignment horizontal="right" vertical="top"/>
    </xf>
    <xf numFmtId="164" fontId="17" fillId="5" borderId="0" xfId="1" applyNumberFormat="1" applyFont="1" applyFill="1" applyBorder="1" applyAlignment="1">
      <alignment horizontal="right"/>
    </xf>
    <xf numFmtId="164" fontId="18" fillId="4" borderId="15" xfId="1" applyNumberFormat="1" applyFont="1" applyFill="1" applyBorder="1" applyAlignment="1">
      <alignment horizontal="right"/>
    </xf>
    <xf numFmtId="164" fontId="17" fillId="2" borderId="0" xfId="1" applyNumberFormat="1" applyFont="1" applyFill="1" applyBorder="1" applyAlignment="1">
      <alignment horizontal="right"/>
    </xf>
    <xf numFmtId="164" fontId="18" fillId="4" borderId="0" xfId="1" applyNumberFormat="1" applyFont="1" applyFill="1" applyBorder="1" applyAlignment="1">
      <alignment horizontal="right"/>
    </xf>
    <xf numFmtId="164" fontId="18" fillId="4" borderId="25" xfId="1" applyNumberFormat="1" applyFont="1" applyFill="1" applyBorder="1" applyAlignment="1">
      <alignment horizontal="right" vertical="center"/>
    </xf>
    <xf numFmtId="164" fontId="17" fillId="0" borderId="2" xfId="1" applyNumberFormat="1" applyFont="1" applyFill="1" applyBorder="1" applyAlignment="1">
      <alignment horizontal="right"/>
    </xf>
    <xf numFmtId="164" fontId="18" fillId="4" borderId="25" xfId="1" applyNumberFormat="1" applyFont="1" applyFill="1" applyBorder="1" applyAlignment="1">
      <alignment horizontal="right"/>
    </xf>
    <xf numFmtId="164" fontId="17" fillId="4" borderId="2" xfId="1" applyNumberFormat="1" applyFont="1" applyFill="1" applyBorder="1" applyAlignment="1">
      <alignment horizontal="right"/>
    </xf>
    <xf numFmtId="164" fontId="17" fillId="4" borderId="15" xfId="1" applyNumberFormat="1" applyFont="1" applyFill="1" applyBorder="1" applyAlignment="1">
      <alignment horizontal="right"/>
    </xf>
    <xf numFmtId="0" fontId="29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top" wrapText="1"/>
    </xf>
    <xf numFmtId="0" fontId="28" fillId="2" borderId="25" xfId="0" applyFont="1" applyFill="1" applyBorder="1" applyAlignment="1">
      <alignment horizontal="left" vertical="top" wrapText="1"/>
    </xf>
    <xf numFmtId="0" fontId="25" fillId="9" borderId="24" xfId="0" applyFont="1" applyFill="1" applyBorder="1" applyAlignment="1">
      <alignment horizontal="right"/>
    </xf>
    <xf numFmtId="0" fontId="25" fillId="9" borderId="25" xfId="0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6" fillId="9" borderId="24" xfId="0" applyFont="1" applyFill="1" applyBorder="1" applyAlignment="1">
      <alignment horizontal="right"/>
    </xf>
    <xf numFmtId="0" fontId="26" fillId="9" borderId="25" xfId="0" applyFont="1" applyFill="1" applyBorder="1" applyAlignment="1">
      <alignment horizontal="right"/>
    </xf>
    <xf numFmtId="0" fontId="25" fillId="9" borderId="0" xfId="0" applyFont="1" applyFill="1" applyBorder="1" applyAlignment="1">
      <alignment horizontal="left"/>
    </xf>
  </cellXfs>
  <cellStyles count="3">
    <cellStyle name="Komma" xfId="1" builtinId="3"/>
    <cellStyle name="Normal" xfId="0" builtinId="0"/>
    <cellStyle name="Prosent" xfId="2" builtinId="5"/>
  </cellStyles>
  <dxfs count="193">
    <dxf>
      <numFmt numFmtId="165" formatCode="_ * #,##0_ ;_ * \-#,##0_ ;_ * &quot;-&quot;??_ ;_ @_ "/>
      <alignment horizontal="right" vertical="bottom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2" tint="-9.9978637043366805E-2"/>
        </patternFill>
      </fill>
      <alignment vertical="top" textRotation="0" wrapText="1" indent="0" justifyLastLine="0" shrinkToFit="0" readingOrder="0"/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/>
        </patternFill>
      </fill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  <dxf>
      <font>
        <color theme="9"/>
      </font>
    </dxf>
    <dxf>
      <font>
        <color theme="5"/>
      </font>
    </dxf>
  </dxfs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avanger.kommune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613474</xdr:colOff>
      <xdr:row>1</xdr:row>
      <xdr:rowOff>94559</xdr:rowOff>
    </xdr:from>
    <xdr:to>
      <xdr:col>7</xdr:col>
      <xdr:colOff>298665</xdr:colOff>
      <xdr:row>1</xdr:row>
      <xdr:rowOff>678052</xdr:rowOff>
    </xdr:to>
    <xdr:pic>
      <xdr:nvPicPr>
        <xdr:cNvPr id="3" name="Bil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59E1B-ECC2-455D-A427-3E589435A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9025" y="191423"/>
          <a:ext cx="928284" cy="583493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tables/table1.xml><?xml version="1.0" encoding="utf-8"?>
<table xmlns="http://schemas.openxmlformats.org/spreadsheetml/2006/main" id="2" name="Tabell2" displayName="Tabell2" ref="L5:Q24" totalsRowCount="1" headerRowDxfId="180" dataDxfId="179">
  <tableColumns count="6">
    <tableColumn id="1" name="Formål" totalsRowLabel="Totalt" dataDxfId="178" totalsRowDxfId="177"/>
    <tableColumn id="3" name="2017" totalsRowFunction="custom" dataDxfId="176" totalsRowDxfId="175">
      <totalsRowFormula>SUM(Tabell2[2017])</totalsRowFormula>
    </tableColumn>
    <tableColumn id="4" name="2018" totalsRowFunction="custom" dataDxfId="174" totalsRowDxfId="173">
      <totalsRowFormula>SUM(Tabell2[2018])</totalsRowFormula>
    </tableColumn>
    <tableColumn id="5" name="2019" totalsRowFunction="custom" dataDxfId="172" totalsRowDxfId="171">
      <totalsRowFormula>SUM(Tabell2[2019])</totalsRowFormula>
    </tableColumn>
    <tableColumn id="6" name="2020" totalsRowFunction="custom" dataDxfId="170" totalsRowDxfId="169">
      <totalsRowFormula>SUM(Tabell2[2020])</totalsRowFormula>
    </tableColumn>
    <tableColumn id="2" name="Totalt" totalsRowFunction="custom" dataDxfId="168" totalsRowDxfId="167">
      <calculatedColumnFormula>+Tabell2[[#This Row],[2020]]+Tabell2[[#This Row],[2019]]+Tabell2[[#This Row],[2018]]+Tabell2[[#This Row],[2017]]</calculatedColumnFormula>
      <totalsRowFormula>SUM(Tabell2[Totalt])</totalsRow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3" name="Tabell17891314" displayName="Tabell17891314" ref="B19:H30" totalsRowShown="0" headerRowDxfId="76" dataDxfId="75" headerRowCellStyle="Komma" dataCellStyle="Komma">
  <tableColumns count="7">
    <tableColumn id="1" name="Tiltakstype"/>
    <tableColumn id="2" name="Prosjekt"/>
    <tableColumn id="3" name="Kostnadsramme" dataDxfId="74" dataCellStyle="Komma"/>
    <tableColumn id="4" name="2018" dataDxfId="73" dataCellStyle="Komma"/>
    <tableColumn id="5" name="2019" dataDxfId="72" dataCellStyle="Komma"/>
    <tableColumn id="6" name="2020" dataDxfId="71" dataCellStyle="Komma"/>
    <tableColumn id="7" name="2021" dataDxfId="70" dataCellStyle="Komm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9" name="Tabell1789131410" displayName="Tabell1789131410" ref="B34:H36" totalsRowShown="0" headerRowDxfId="69" dataDxfId="68" headerRowCellStyle="Komma" dataCellStyle="Komma">
  <tableColumns count="7">
    <tableColumn id="1" name="Tiltakstype"/>
    <tableColumn id="2" name="Prosjekt"/>
    <tableColumn id="3" name="Kostnadsramme" dataDxfId="67" dataCellStyle="Komma"/>
    <tableColumn id="4" name="2018" dataDxfId="66" dataCellStyle="Komma"/>
    <tableColumn id="5" name="2019" dataDxfId="65" dataCellStyle="Komma"/>
    <tableColumn id="6" name="2020" dataDxfId="64" dataCellStyle="Komma"/>
    <tableColumn id="7" name="2021" dataDxfId="63" dataCellStyle="Komm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Tabell17891315" displayName="Tabell17891315" ref="B5:H12" totalsRowShown="0" headerRowDxfId="62" dataDxfId="61" headerRowCellStyle="Komma" dataCellStyle="Komma">
  <tableColumns count="7">
    <tableColumn id="1" name="Tiltakstype"/>
    <tableColumn id="2" name="Prosjekt"/>
    <tableColumn id="3" name="Kostnadsramme" dataDxfId="60" dataCellStyle="Komma"/>
    <tableColumn id="4" name="2018" dataDxfId="59" dataCellStyle="Komma"/>
    <tableColumn id="5" name="2019" dataDxfId="58" dataCellStyle="Komma"/>
    <tableColumn id="6" name="2020" dataDxfId="57" dataCellStyle="Komma"/>
    <tableColumn id="7" name="2021" dataDxfId="56" dataCellStyle="Komma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" name="Tabell3" displayName="Tabell3" ref="B2:J11" totalsRowShown="0" headerRowDxfId="41" headerRowBorderDxfId="40" tableBorderDxfId="39" headerRowCellStyle="Komma">
  <tableColumns count="9">
    <tableColumn id="1" name="NR" dataDxfId="38"/>
    <tableColumn id="2" name="INVESTERINGSTABELL 2018-2021- (må kvalitetssikres av KF)" dataDxfId="37"/>
    <tableColumn id="3" name="Total prosjekt- kostnad" dataDxfId="36" dataCellStyle="Komma"/>
    <tableColumn id="4" name="Påløpte kostnader tom 2016" dataDxfId="35" dataCellStyle="Komma"/>
    <tableColumn id="5" name="Budsjett 2017" dataDxfId="34" dataCellStyle="Komma"/>
    <tableColumn id="6" name=" 2 018 " dataDxfId="33" dataCellStyle="Komma"/>
    <tableColumn id="7" name=" 2 019 "/>
    <tableColumn id="8" name=" 2 020 "/>
    <tableColumn id="9" name=" 2 021 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id="4" name="Tabell4" displayName="Tabell4" ref="A2:I9" totalsRowShown="0" headerRowDxfId="28" dataDxfId="27" tableBorderDxfId="26">
  <tableColumns count="9">
    <tableColumn id="1" name="NR" dataDxfId="25"/>
    <tableColumn id="2" name="INVESTERINGSTABELL 2018-2021- (må kvalitetssikres av KF)" dataDxfId="24"/>
    <tableColumn id="3" name="Total prosjekt- kostnad" dataDxfId="23" dataCellStyle="Komma"/>
    <tableColumn id="4" name="Påløpte kostnader tom 2016" dataDxfId="22" dataCellStyle="Komma"/>
    <tableColumn id="5" name="Budsjett 2017" dataDxfId="21" dataCellStyle="Komma"/>
    <tableColumn id="6" name="2018" dataDxfId="20" dataCellStyle="Komma"/>
    <tableColumn id="7" name="2019" dataDxfId="19"/>
    <tableColumn id="8" name="2020" dataDxfId="18"/>
    <tableColumn id="9" name="2021" dataDxfId="17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id="16" name="Tabell1789131517" displayName="Tabell1789131517" ref="B5:H10" totalsRowShown="0" headerRowDxfId="16" dataDxfId="15" headerRowCellStyle="Komma" dataCellStyle="Komma">
  <tableColumns count="7">
    <tableColumn id="1" name="Tiltakstype"/>
    <tableColumn id="2" name="Prosjekt"/>
    <tableColumn id="3" name="Kostnadsramme" dataDxfId="14" dataCellStyle="Komma"/>
    <tableColumn id="4" name="2018" dataDxfId="13" dataCellStyle="Komma"/>
    <tableColumn id="5" name="2019" dataDxfId="12" dataCellStyle="Komma"/>
    <tableColumn id="6" name="2020" dataDxfId="11" dataCellStyle="Komma"/>
    <tableColumn id="7" name="2021" dataDxfId="10" dataCellStyle="Komma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5" name="Tabell15" displayName="Tabell15" ref="B2:H11" totalsRowShown="0" headerRowDxfId="9" dataDxfId="8" dataCellStyle="Komma">
  <tableColumns count="7">
    <tableColumn id="1" name="Prosjekt"/>
    <tableColumn id="2" name="Ramme" dataDxfId="7" dataCellStyle="Komma"/>
    <tableColumn id="3" name="2018" dataDxfId="6" dataCellStyle="Komma"/>
    <tableColumn id="4" name="2019" dataDxfId="5" dataCellStyle="Komma"/>
    <tableColumn id="5" name="2020" dataDxfId="4" dataCellStyle="Komma"/>
    <tableColumn id="6" name="2021" dataDxfId="3" dataCellStyle="Komma"/>
    <tableColumn id="7" name="Effekt i perioden" dataDxfId="2" dataCellStyle="Komma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ell18" displayName="Tabell18" ref="A2:B19" totalsRowShown="0" headerRowDxfId="1">
  <tableColumns count="2">
    <tableColumn id="1" name="Tiltak som ikke er innarbeidet i perioden"/>
    <tableColumn id="2" name="Kostnad" dataDxfId="0" dataCellStyle="K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ell1711" displayName="Tabell1711" ref="B5:H22" totalsRowShown="0" headerRowDxfId="132" dataDxfId="131" headerRowCellStyle="Komma" dataCellStyle="Komma">
  <tableColumns count="7">
    <tableColumn id="1" name="Tiltakstype"/>
    <tableColumn id="2" name="Prosjekt"/>
    <tableColumn id="3" name="Kostnadsramme" dataDxfId="130" dataCellStyle="Komma"/>
    <tableColumn id="4" name="2018" dataDxfId="129" dataCellStyle="Komma"/>
    <tableColumn id="5" name="2019" dataDxfId="128" dataCellStyle="Komma"/>
    <tableColumn id="6" name="2020" dataDxfId="127" dataCellStyle="Komma"/>
    <tableColumn id="7" name="2021" dataDxfId="126" dataCellStyle="K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l1" displayName="Tabell1" ref="B5:H18" totalsRowShown="0" headerRowDxfId="125" dataDxfId="124" headerRowCellStyle="Komma" dataCellStyle="Komma">
  <tableColumns count="7">
    <tableColumn id="1" name="Tiltakstype"/>
    <tableColumn id="2" name="Prosjekt"/>
    <tableColumn id="3" name="Kostnadsramme" dataDxfId="123" dataCellStyle="Komma"/>
    <tableColumn id="4" name="2018" dataDxfId="122" dataCellStyle="Komma"/>
    <tableColumn id="5" name="2019" dataDxfId="121" dataCellStyle="Komma"/>
    <tableColumn id="6" name="2020" dataDxfId="120" dataCellStyle="Komma"/>
    <tableColumn id="7" name="2021" dataDxfId="119" dataCellStyle="Komm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l5" displayName="Tabell5" ref="B25:H33" totalsRowShown="0" headerRowDxfId="118" dataDxfId="117" headerRowCellStyle="Komma" dataCellStyle="Komma">
  <tableColumns count="7">
    <tableColumn id="1" name="Tiltakstype"/>
    <tableColumn id="2" name="Prosjekt"/>
    <tableColumn id="3" name="Kostnadsramme" dataDxfId="116" dataCellStyle="Komma"/>
    <tableColumn id="4" name="2018" dataDxfId="115" dataCellStyle="Komma"/>
    <tableColumn id="5" name="2019" dataDxfId="114" dataCellStyle="Komma"/>
    <tableColumn id="6" name="2020" dataDxfId="113" dataCellStyle="Komma"/>
    <tableColumn id="7" name="2021" dataDxfId="112" dataCellStyle="Komm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l17" displayName="Tabell17" ref="B5:H20" totalsRowShown="0" headerRowDxfId="111" dataDxfId="110" headerRowCellStyle="Komma" dataCellStyle="Komma">
  <tableColumns count="7">
    <tableColumn id="1" name="Tiltakstype"/>
    <tableColumn id="2" name="Prosjekt"/>
    <tableColumn id="3" name="Kostnadsramme" dataDxfId="109" dataCellStyle="Komma"/>
    <tableColumn id="4" name="2018" dataDxfId="108" dataCellStyle="Komma"/>
    <tableColumn id="5" name="2019" dataDxfId="107" dataCellStyle="Komma"/>
    <tableColumn id="6" name="2020" dataDxfId="106" dataCellStyle="Komma"/>
    <tableColumn id="7" name="2021" dataDxfId="105" dataCellStyle="Komm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l178" displayName="Tabell178" ref="B5:H15" totalsRowShown="0" headerRowDxfId="104" dataDxfId="103" headerRowCellStyle="Komma" dataCellStyle="Komma">
  <tableColumns count="7">
    <tableColumn id="1" name="Tiltakstype"/>
    <tableColumn id="2" name="Prosjekt"/>
    <tableColumn id="3" name="Kostnadsramme" dataDxfId="102" dataCellStyle="Komma"/>
    <tableColumn id="4" name="2018" dataDxfId="101" dataCellStyle="Komma"/>
    <tableColumn id="5" name="2019" dataDxfId="100" dataCellStyle="Komma"/>
    <tableColumn id="6" name="2020" dataDxfId="99" dataCellStyle="Komma"/>
    <tableColumn id="7" name="2021" dataDxfId="98" dataCellStyle="Komm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l1789" displayName="Tabell1789" ref="B5:H17" totalsRowShown="0" headerRowDxfId="97" dataDxfId="96" headerRowCellStyle="Komma" dataCellStyle="Komma">
  <tableColumns count="7">
    <tableColumn id="1" name="Tiltakstype"/>
    <tableColumn id="2" name="Prosjekt"/>
    <tableColumn id="3" name="Kostnadsramme" dataDxfId="95" dataCellStyle="Komma"/>
    <tableColumn id="4" name="2018" dataDxfId="94" dataCellStyle="Komma"/>
    <tableColumn id="5" name="2019" dataDxfId="93" dataCellStyle="Komma"/>
    <tableColumn id="6" name="2020" dataDxfId="92" dataCellStyle="Komma"/>
    <tableColumn id="7" name="2021" dataDxfId="91" dataCellStyle="Komm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Tabell178912" displayName="Tabell178912" ref="B5:H29" totalsRowShown="0" headerRowDxfId="90" dataDxfId="89" headerRowCellStyle="Komma" dataCellStyle="Komma">
  <tableColumns count="7">
    <tableColumn id="1" name="Tiltakstype"/>
    <tableColumn id="2" name="Prosjekt"/>
    <tableColumn id="3" name="Kostnadsramme" dataDxfId="88" dataCellStyle="Komma"/>
    <tableColumn id="4" name="2018" dataDxfId="87" dataCellStyle="Komma"/>
    <tableColumn id="5" name="2019" dataDxfId="86" dataCellStyle="Komma"/>
    <tableColumn id="6" name="2020" dataDxfId="85" dataCellStyle="Komma"/>
    <tableColumn id="7" name="2021" dataDxfId="84" dataCellStyle="Komm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Tabell178913" displayName="Tabell178913" ref="B5:H15" totalsRowShown="0" headerRowDxfId="83" dataDxfId="82" headerRowCellStyle="Komma" dataCellStyle="Komma">
  <tableColumns count="7">
    <tableColumn id="1" name="Tiltakstype"/>
    <tableColumn id="2" name="Prosjekt"/>
    <tableColumn id="3" name="Kostnadsramme" dataDxfId="81" dataCellStyle="Komma"/>
    <tableColumn id="4" name="2018" dataDxfId="80" dataCellStyle="Komma"/>
    <tableColumn id="5" name="2019" dataDxfId="79" dataCellStyle="Komma"/>
    <tableColumn id="6" name="2020" dataDxfId="78" dataCellStyle="Komma"/>
    <tableColumn id="7" name="2021" dataDxfId="77" dataCellStyle="K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19"/>
  <sheetViews>
    <sheetView workbookViewId="0"/>
  </sheetViews>
  <sheetFormatPr baseColWidth="10" defaultColWidth="11.42578125" defaultRowHeight="15" x14ac:dyDescent="0.25"/>
  <cols>
    <col min="1" max="1" width="10.5703125" style="1" customWidth="1"/>
    <col min="2" max="2" width="11.85546875" style="88" customWidth="1"/>
    <col min="3" max="3" width="56.5703125" style="89" customWidth="1"/>
    <col min="4" max="4" width="13.7109375" style="34" bestFit="1" customWidth="1"/>
    <col min="5" max="5" width="13.140625" style="34" customWidth="1"/>
    <col min="6" max="6" width="13.140625" style="11" customWidth="1"/>
    <col min="7" max="8" width="10.42578125" style="34" bestFit="1" customWidth="1"/>
    <col min="9" max="9" width="10.42578125" style="2" bestFit="1" customWidth="1"/>
    <col min="10" max="10" width="9.7109375" style="2" bestFit="1" customWidth="1"/>
    <col min="11" max="11" width="18.42578125" style="2" customWidth="1"/>
    <col min="12" max="12" width="33.140625" style="2" bestFit="1" customWidth="1"/>
    <col min="13" max="14" width="12.28515625" style="2" bestFit="1" customWidth="1"/>
    <col min="15" max="16" width="11.7109375" style="2" bestFit="1" customWidth="1"/>
    <col min="17" max="17" width="12.42578125" style="2" bestFit="1" customWidth="1"/>
    <col min="18" max="16384" width="11.42578125" style="2"/>
  </cols>
  <sheetData>
    <row r="1" spans="1:18" ht="45.75" thickBot="1" x14ac:dyDescent="0.3">
      <c r="B1" s="178"/>
      <c r="C1" s="179" t="s">
        <v>213</v>
      </c>
      <c r="D1" s="180" t="s">
        <v>130</v>
      </c>
      <c r="E1" s="180" t="s">
        <v>131</v>
      </c>
      <c r="F1" s="181" t="s">
        <v>212</v>
      </c>
      <c r="G1" s="182">
        <v>2017</v>
      </c>
      <c r="H1" s="182">
        <v>2018</v>
      </c>
      <c r="I1" s="183">
        <v>2019</v>
      </c>
      <c r="J1" s="184">
        <v>2020</v>
      </c>
    </row>
    <row r="2" spans="1:18" x14ac:dyDescent="0.25">
      <c r="B2" s="3"/>
      <c r="C2" s="4"/>
      <c r="D2" s="5"/>
      <c r="E2" s="5"/>
      <c r="F2" s="136"/>
      <c r="G2" s="129"/>
      <c r="H2" s="129"/>
      <c r="I2" s="130"/>
      <c r="J2" s="131"/>
    </row>
    <row r="3" spans="1:18" x14ac:dyDescent="0.25">
      <c r="B3" s="6"/>
      <c r="C3" s="7" t="s">
        <v>0</v>
      </c>
      <c r="D3" s="8"/>
      <c r="E3" s="8"/>
      <c r="F3" s="140"/>
      <c r="G3" s="132"/>
      <c r="H3" s="132"/>
      <c r="I3" s="100"/>
      <c r="J3" s="133"/>
    </row>
    <row r="4" spans="1:18" s="1" customFormat="1" x14ac:dyDescent="0.25">
      <c r="A4" s="1">
        <v>4819</v>
      </c>
      <c r="B4" s="9">
        <v>1</v>
      </c>
      <c r="C4" s="10" t="s">
        <v>1</v>
      </c>
      <c r="D4" s="11">
        <v>97500</v>
      </c>
      <c r="E4" s="11">
        <v>62274</v>
      </c>
      <c r="F4" s="136">
        <f>30400+4800-2000</f>
        <v>33200</v>
      </c>
      <c r="G4" s="11">
        <v>2000</v>
      </c>
      <c r="H4" s="11"/>
      <c r="I4" s="12"/>
      <c r="J4" s="13"/>
    </row>
    <row r="5" spans="1:18" s="1" customFormat="1" x14ac:dyDescent="0.25">
      <c r="B5" s="14">
        <f>1+B4</f>
        <v>2</v>
      </c>
      <c r="C5" s="15" t="s">
        <v>160</v>
      </c>
      <c r="D5" s="16">
        <v>90000</v>
      </c>
      <c r="E5" s="16"/>
      <c r="F5" s="136"/>
      <c r="G5" s="16">
        <v>20000</v>
      </c>
      <c r="H5" s="16">
        <v>29000</v>
      </c>
      <c r="I5" s="17">
        <v>22000</v>
      </c>
      <c r="J5" s="18">
        <v>4000</v>
      </c>
      <c r="L5" s="1" t="s">
        <v>221</v>
      </c>
      <c r="M5" s="201" t="s">
        <v>217</v>
      </c>
      <c r="N5" s="201" t="s">
        <v>218</v>
      </c>
      <c r="O5" s="201" t="s">
        <v>219</v>
      </c>
      <c r="P5" s="201" t="s">
        <v>220</v>
      </c>
      <c r="Q5" s="201" t="s">
        <v>230</v>
      </c>
    </row>
    <row r="6" spans="1:18" s="1" customFormat="1" x14ac:dyDescent="0.25">
      <c r="A6" s="1">
        <v>391244874</v>
      </c>
      <c r="B6" s="9">
        <f>1+B5</f>
        <v>3</v>
      </c>
      <c r="C6" s="10" t="s">
        <v>2</v>
      </c>
      <c r="D6" s="11">
        <f>24150+3800-2000+1000</f>
        <v>26950</v>
      </c>
      <c r="E6" s="11">
        <v>24428</v>
      </c>
      <c r="F6" s="136">
        <v>400</v>
      </c>
      <c r="G6" s="11">
        <f>1800-400-270</f>
        <v>1130</v>
      </c>
      <c r="H6" s="11"/>
      <c r="I6" s="12"/>
      <c r="J6" s="13"/>
      <c r="L6" s="1" t="s">
        <v>0</v>
      </c>
      <c r="M6" s="12">
        <f>165780+G82+G83</f>
        <v>198780</v>
      </c>
      <c r="N6" s="12">
        <f>39850+H82</f>
        <v>43350</v>
      </c>
      <c r="O6" s="12">
        <f>84500+I82</f>
        <v>88000</v>
      </c>
      <c r="P6" s="12">
        <v>106500</v>
      </c>
      <c r="Q6" s="207">
        <f>+Tabell2[[#This Row],[2020]]+Tabell2[[#This Row],[2019]]+Tabell2[[#This Row],[2018]]+Tabell2[[#This Row],[2017]]</f>
        <v>436630</v>
      </c>
    </row>
    <row r="7" spans="1:18" s="1" customFormat="1" x14ac:dyDescent="0.25">
      <c r="B7" s="185" t="s">
        <v>211</v>
      </c>
      <c r="C7" s="186" t="s">
        <v>196</v>
      </c>
      <c r="D7" s="187"/>
      <c r="E7" s="187"/>
      <c r="F7" s="187"/>
      <c r="G7" s="187">
        <v>1000</v>
      </c>
      <c r="H7" s="187"/>
      <c r="I7" s="188"/>
      <c r="J7" s="189"/>
      <c r="L7" s="1" t="s">
        <v>8</v>
      </c>
      <c r="M7" s="12">
        <v>137700</v>
      </c>
      <c r="N7" s="12">
        <v>248000</v>
      </c>
      <c r="O7" s="12">
        <v>401500</v>
      </c>
      <c r="P7" s="12">
        <v>328700</v>
      </c>
      <c r="Q7" s="207">
        <f>+Tabell2[[#This Row],[2020]]+Tabell2[[#This Row],[2019]]+Tabell2[[#This Row],[2018]]+Tabell2[[#This Row],[2017]]</f>
        <v>1115900</v>
      </c>
    </row>
    <row r="8" spans="1:18" s="1" customFormat="1" x14ac:dyDescent="0.25">
      <c r="A8" s="1">
        <v>391266091</v>
      </c>
      <c r="B8" s="14">
        <f>1+B6</f>
        <v>4</v>
      </c>
      <c r="C8" s="15" t="s">
        <v>216</v>
      </c>
      <c r="D8" s="16">
        <v>141000</v>
      </c>
      <c r="E8" s="16">
        <v>22758</v>
      </c>
      <c r="F8" s="136">
        <f>-78300+108300</f>
        <v>30000</v>
      </c>
      <c r="G8" s="16">
        <f>78300+9900</f>
        <v>88200</v>
      </c>
      <c r="H8" s="16"/>
      <c r="I8" s="17"/>
      <c r="J8" s="18"/>
      <c r="L8" s="1" t="s">
        <v>15</v>
      </c>
      <c r="M8" s="12">
        <v>21100</v>
      </c>
      <c r="N8" s="12">
        <v>48900</v>
      </c>
      <c r="O8" s="12">
        <v>47900</v>
      </c>
      <c r="P8" s="12">
        <v>30000</v>
      </c>
      <c r="Q8" s="207">
        <f>+Tabell2[[#This Row],[2020]]+Tabell2[[#This Row],[2019]]+Tabell2[[#This Row],[2018]]+Tabell2[[#This Row],[2017]]</f>
        <v>147900</v>
      </c>
    </row>
    <row r="9" spans="1:18" s="1" customFormat="1" x14ac:dyDescent="0.25">
      <c r="A9" s="1">
        <v>4700</v>
      </c>
      <c r="B9" s="9">
        <f t="shared" ref="B9:B16" si="0">1+B8</f>
        <v>5</v>
      </c>
      <c r="C9" s="10" t="s">
        <v>3</v>
      </c>
      <c r="D9" s="11"/>
      <c r="E9" s="11"/>
      <c r="F9" s="136">
        <v>1000</v>
      </c>
      <c r="G9" s="11">
        <v>1000</v>
      </c>
      <c r="H9" s="11">
        <v>1000</v>
      </c>
      <c r="I9" s="12">
        <v>1000</v>
      </c>
      <c r="J9" s="13">
        <v>1000</v>
      </c>
      <c r="L9" s="1" t="s">
        <v>222</v>
      </c>
      <c r="M9" s="12">
        <v>298300</v>
      </c>
      <c r="N9" s="12">
        <v>114800</v>
      </c>
      <c r="O9" s="12">
        <v>39500</v>
      </c>
      <c r="P9" s="12">
        <v>5000</v>
      </c>
      <c r="Q9" s="207">
        <f>+Tabell2[[#This Row],[2020]]+Tabell2[[#This Row],[2019]]+Tabell2[[#This Row],[2018]]+Tabell2[[#This Row],[2017]]</f>
        <v>457600</v>
      </c>
      <c r="R9" s="206"/>
    </row>
    <row r="10" spans="1:18" s="1" customFormat="1" x14ac:dyDescent="0.25">
      <c r="A10" s="1">
        <v>3844001</v>
      </c>
      <c r="B10" s="14">
        <f t="shared" si="0"/>
        <v>6</v>
      </c>
      <c r="C10" s="15" t="s">
        <v>4</v>
      </c>
      <c r="D10" s="16">
        <v>55000</v>
      </c>
      <c r="E10" s="16">
        <v>9068</v>
      </c>
      <c r="F10" s="136">
        <f>19000+7900</f>
        <v>26900</v>
      </c>
      <c r="G10" s="16">
        <v>19000</v>
      </c>
      <c r="H10" s="16"/>
      <c r="I10" s="17"/>
      <c r="J10" s="18"/>
      <c r="L10" s="1" t="s">
        <v>24</v>
      </c>
      <c r="M10" s="12">
        <v>208100</v>
      </c>
      <c r="N10" s="12">
        <v>199000</v>
      </c>
      <c r="O10" s="12">
        <v>82500</v>
      </c>
      <c r="P10" s="12">
        <v>49500</v>
      </c>
      <c r="Q10" s="207">
        <f>+Tabell2[[#This Row],[2020]]+Tabell2[[#This Row],[2019]]+Tabell2[[#This Row],[2018]]+Tabell2[[#This Row],[2017]]</f>
        <v>539100</v>
      </c>
    </row>
    <row r="11" spans="1:18" s="19" customFormat="1" x14ac:dyDescent="0.25">
      <c r="A11" s="1">
        <v>3844044</v>
      </c>
      <c r="B11" s="9">
        <f t="shared" si="0"/>
        <v>7</v>
      </c>
      <c r="C11" s="10" t="s">
        <v>215</v>
      </c>
      <c r="D11" s="11">
        <f>+F11+G11</f>
        <v>21900</v>
      </c>
      <c r="E11" s="11"/>
      <c r="F11" s="136">
        <v>7400</v>
      </c>
      <c r="G11" s="11">
        <v>14500</v>
      </c>
      <c r="H11" s="11"/>
      <c r="I11" s="12"/>
      <c r="J11" s="13"/>
      <c r="L11" s="1" t="s">
        <v>35</v>
      </c>
      <c r="M11" s="12">
        <v>11400</v>
      </c>
      <c r="N11" s="12">
        <v>9000</v>
      </c>
      <c r="O11" s="12">
        <v>9000</v>
      </c>
      <c r="P11" s="12">
        <v>7000</v>
      </c>
      <c r="Q11" s="207">
        <f>+Tabell2[[#This Row],[2020]]+Tabell2[[#This Row],[2019]]+Tabell2[[#This Row],[2018]]+Tabell2[[#This Row],[2017]]</f>
        <v>36400</v>
      </c>
    </row>
    <row r="12" spans="1:18" s="20" customFormat="1" x14ac:dyDescent="0.25">
      <c r="A12" s="20">
        <v>3844002</v>
      </c>
      <c r="B12" s="14">
        <f t="shared" si="0"/>
        <v>8</v>
      </c>
      <c r="C12" s="15" t="s">
        <v>5</v>
      </c>
      <c r="D12" s="113">
        <f>29700+2300</f>
        <v>32000</v>
      </c>
      <c r="E12" s="16">
        <v>1548</v>
      </c>
      <c r="F12" s="136">
        <v>13000</v>
      </c>
      <c r="G12" s="16">
        <f>14700+450+2300</f>
        <v>17450</v>
      </c>
      <c r="H12" s="16"/>
      <c r="I12" s="17"/>
      <c r="J12" s="18"/>
      <c r="L12" s="20" t="s">
        <v>42</v>
      </c>
      <c r="M12" s="200">
        <v>57900</v>
      </c>
      <c r="N12" s="200">
        <v>47000</v>
      </c>
      <c r="O12" s="200">
        <v>43400</v>
      </c>
      <c r="P12" s="200">
        <v>42100</v>
      </c>
      <c r="Q12" s="207">
        <f>+Tabell2[[#This Row],[2020]]+Tabell2[[#This Row],[2019]]+Tabell2[[#This Row],[2018]]+Tabell2[[#This Row],[2017]]</f>
        <v>190400</v>
      </c>
    </row>
    <row r="13" spans="1:18" s="23" customFormat="1" x14ac:dyDescent="0.25">
      <c r="A13" s="20"/>
      <c r="B13" s="9">
        <f t="shared" si="0"/>
        <v>9</v>
      </c>
      <c r="C13" s="10" t="s">
        <v>149</v>
      </c>
      <c r="D13" s="11">
        <v>140000</v>
      </c>
      <c r="E13" s="11"/>
      <c r="F13" s="137"/>
      <c r="G13" s="11"/>
      <c r="H13" s="11">
        <v>4000</v>
      </c>
      <c r="I13" s="11">
        <v>30000</v>
      </c>
      <c r="J13" s="24">
        <v>50000</v>
      </c>
      <c r="L13" s="20" t="s">
        <v>54</v>
      </c>
      <c r="M13" s="200">
        <v>74400</v>
      </c>
      <c r="N13" s="200">
        <v>76500</v>
      </c>
      <c r="O13" s="200">
        <v>73800</v>
      </c>
      <c r="P13" s="200">
        <v>66000</v>
      </c>
      <c r="Q13" s="207">
        <f>+Tabell2[[#This Row],[2020]]+Tabell2[[#This Row],[2019]]+Tabell2[[#This Row],[2018]]+Tabell2[[#This Row],[2017]]</f>
        <v>290700</v>
      </c>
    </row>
    <row r="14" spans="1:18" s="23" customFormat="1" x14ac:dyDescent="0.25">
      <c r="A14" s="20"/>
      <c r="B14" s="14">
        <f t="shared" si="0"/>
        <v>10</v>
      </c>
      <c r="C14" s="15" t="s">
        <v>150</v>
      </c>
      <c r="D14" s="16">
        <v>150000</v>
      </c>
      <c r="E14" s="16"/>
      <c r="F14" s="137"/>
      <c r="G14" s="16"/>
      <c r="H14" s="16">
        <v>4000</v>
      </c>
      <c r="I14" s="16">
        <v>30000</v>
      </c>
      <c r="J14" s="22">
        <v>50000</v>
      </c>
      <c r="L14" s="20" t="s">
        <v>61</v>
      </c>
      <c r="M14" s="200">
        <v>4200</v>
      </c>
      <c r="N14" s="200">
        <v>4000</v>
      </c>
      <c r="O14" s="200">
        <v>3500</v>
      </c>
      <c r="P14" s="200">
        <v>3500</v>
      </c>
      <c r="Q14" s="207">
        <f>+Tabell2[[#This Row],[2020]]+Tabell2[[#This Row],[2019]]+Tabell2[[#This Row],[2018]]+Tabell2[[#This Row],[2017]]</f>
        <v>15200</v>
      </c>
    </row>
    <row r="15" spans="1:18" s="20" customFormat="1" x14ac:dyDescent="0.25">
      <c r="B15" s="9">
        <f t="shared" si="0"/>
        <v>11</v>
      </c>
      <c r="C15" s="10" t="s">
        <v>134</v>
      </c>
      <c r="D15" s="11">
        <v>350</v>
      </c>
      <c r="E15" s="11"/>
      <c r="F15" s="136"/>
      <c r="G15" s="11"/>
      <c r="H15" s="11">
        <v>350</v>
      </c>
      <c r="I15" s="12"/>
      <c r="J15" s="13"/>
      <c r="L15" s="20" t="s">
        <v>66</v>
      </c>
      <c r="M15" s="200">
        <v>196564</v>
      </c>
      <c r="N15" s="200">
        <v>115150</v>
      </c>
      <c r="O15" s="200">
        <v>109450</v>
      </c>
      <c r="P15" s="200">
        <v>97450</v>
      </c>
      <c r="Q15" s="207">
        <f>+Tabell2[[#This Row],[2020]]+Tabell2[[#This Row],[2019]]+Tabell2[[#This Row],[2018]]+Tabell2[[#This Row],[2017]]</f>
        <v>518614</v>
      </c>
    </row>
    <row r="16" spans="1:18" s="1" customFormat="1" x14ac:dyDescent="0.25">
      <c r="A16" s="1">
        <v>44042401</v>
      </c>
      <c r="B16" s="14">
        <f t="shared" si="0"/>
        <v>12</v>
      </c>
      <c r="C16" s="15" t="s">
        <v>6</v>
      </c>
      <c r="D16" s="16"/>
      <c r="E16" s="25"/>
      <c r="F16" s="136">
        <v>1500</v>
      </c>
      <c r="G16" s="16">
        <v>1500</v>
      </c>
      <c r="H16" s="16">
        <v>1500</v>
      </c>
      <c r="I16" s="17">
        <v>1500</v>
      </c>
      <c r="J16" s="18">
        <v>1500</v>
      </c>
      <c r="L16" s="20" t="s">
        <v>99</v>
      </c>
      <c r="M16" s="200">
        <v>42600</v>
      </c>
      <c r="N16" s="200">
        <v>34300</v>
      </c>
      <c r="O16" s="200">
        <v>43000</v>
      </c>
      <c r="P16" s="200">
        <v>41000</v>
      </c>
      <c r="Q16" s="207">
        <f>+Tabell2[[#This Row],[2020]]+Tabell2[[#This Row],[2019]]+Tabell2[[#This Row],[2018]]+Tabell2[[#This Row],[2017]]</f>
        <v>160900</v>
      </c>
    </row>
    <row r="17" spans="1:19" s="160" customFormat="1" ht="30" customHeight="1" x14ac:dyDescent="0.25">
      <c r="A17" s="156"/>
      <c r="B17" s="26"/>
      <c r="C17" s="27" t="s">
        <v>7</v>
      </c>
      <c r="D17" s="157">
        <f>SUM(D4:D16)</f>
        <v>754700</v>
      </c>
      <c r="E17" s="157"/>
      <c r="F17" s="158">
        <f>SUM(F4:F16)</f>
        <v>113400</v>
      </c>
      <c r="G17" s="157">
        <f>SUM(G4:G16)</f>
        <v>165780</v>
      </c>
      <c r="H17" s="157">
        <f>SUM(H4:H16)</f>
        <v>39850</v>
      </c>
      <c r="I17" s="157">
        <f>SUM(I4:I16)</f>
        <v>84500</v>
      </c>
      <c r="J17" s="159">
        <f>SUM(J4:J16)</f>
        <v>106500</v>
      </c>
      <c r="L17" s="1" t="s">
        <v>223</v>
      </c>
      <c r="M17" s="12">
        <f>+G168-G164+G171</f>
        <v>42400</v>
      </c>
      <c r="N17" s="12">
        <f>+H168-H164+H171</f>
        <v>42400</v>
      </c>
      <c r="O17" s="12">
        <f>+I168-I164+I171</f>
        <v>38900</v>
      </c>
      <c r="P17" s="12">
        <f>+J168-J164+J171</f>
        <v>37400</v>
      </c>
      <c r="Q17" s="207">
        <f>+Tabell2[[#This Row],[2020]]+Tabell2[[#This Row],[2019]]+Tabell2[[#This Row],[2018]]+Tabell2[[#This Row],[2017]]</f>
        <v>161100</v>
      </c>
    </row>
    <row r="18" spans="1:19" x14ac:dyDescent="0.25">
      <c r="B18" s="30"/>
      <c r="C18" s="7" t="s">
        <v>8</v>
      </c>
      <c r="D18" s="31"/>
      <c r="E18" s="31"/>
      <c r="F18" s="136"/>
      <c r="G18" s="16"/>
      <c r="H18" s="16"/>
      <c r="I18" s="17"/>
      <c r="J18" s="18"/>
      <c r="L18" s="160" t="s">
        <v>224</v>
      </c>
      <c r="M18" s="202">
        <v>27000</v>
      </c>
      <c r="N18" s="202">
        <v>44000</v>
      </c>
      <c r="O18" s="202">
        <v>77000</v>
      </c>
      <c r="P18" s="202">
        <v>64000</v>
      </c>
      <c r="Q18" s="207">
        <f>+Tabell2[[#This Row],[2020]]+Tabell2[[#This Row],[2019]]+Tabell2[[#This Row],[2018]]+Tabell2[[#This Row],[2017]]</f>
        <v>212000</v>
      </c>
    </row>
    <row r="19" spans="1:19" s="1" customFormat="1" x14ac:dyDescent="0.25">
      <c r="A19" s="1">
        <v>384407</v>
      </c>
      <c r="B19" s="9">
        <f>1+B16</f>
        <v>13</v>
      </c>
      <c r="C19" s="10" t="s">
        <v>151</v>
      </c>
      <c r="D19" s="11">
        <v>251000</v>
      </c>
      <c r="E19" s="11"/>
      <c r="F19" s="136">
        <f>-3000+5000</f>
        <v>2000</v>
      </c>
      <c r="G19" s="11">
        <f>70000-30000+30000-20000-20000-25000</f>
        <v>5000</v>
      </c>
      <c r="H19" s="11">
        <f>60000+70000-40000+3000</f>
        <v>93000</v>
      </c>
      <c r="I19" s="12">
        <f>5000+25000+30000+42000-40000</f>
        <v>62000</v>
      </c>
      <c r="J19" s="13">
        <f>5000+19000+20000+5000-5000+25000</f>
        <v>69000</v>
      </c>
      <c r="L19" s="20" t="s">
        <v>225</v>
      </c>
      <c r="M19" s="203">
        <v>162000</v>
      </c>
      <c r="N19" s="203">
        <v>170000</v>
      </c>
      <c r="O19" s="203">
        <v>172000</v>
      </c>
      <c r="P19" s="203">
        <v>190000</v>
      </c>
      <c r="Q19" s="207">
        <f>+Tabell2[[#This Row],[2020]]+Tabell2[[#This Row],[2019]]+Tabell2[[#This Row],[2018]]+Tabell2[[#This Row],[2017]]</f>
        <v>694000</v>
      </c>
    </row>
    <row r="20" spans="1:19" s="20" customFormat="1" x14ac:dyDescent="0.25">
      <c r="B20" s="14">
        <f>1+B19</f>
        <v>14</v>
      </c>
      <c r="C20" s="15" t="s">
        <v>214</v>
      </c>
      <c r="D20" s="16">
        <v>286000</v>
      </c>
      <c r="E20" s="16"/>
      <c r="F20" s="136"/>
      <c r="G20" s="16">
        <v>2000</v>
      </c>
      <c r="H20" s="16">
        <f>78000-40000</f>
        <v>38000</v>
      </c>
      <c r="I20" s="17">
        <v>90000</v>
      </c>
      <c r="J20" s="18">
        <f>10000+90000</f>
        <v>100000</v>
      </c>
      <c r="L20" s="20" t="s">
        <v>226</v>
      </c>
      <c r="M20" s="203">
        <v>30150</v>
      </c>
      <c r="N20" s="203">
        <v>500</v>
      </c>
      <c r="O20" s="203">
        <v>500</v>
      </c>
      <c r="P20" s="203">
        <v>500</v>
      </c>
      <c r="Q20" s="207">
        <f>+Tabell2[[#This Row],[2020]]+Tabell2[[#This Row],[2019]]+Tabell2[[#This Row],[2018]]+Tabell2[[#This Row],[2017]]</f>
        <v>31650</v>
      </c>
    </row>
    <row r="21" spans="1:19" s="20" customFormat="1" ht="30" x14ac:dyDescent="0.25">
      <c r="A21" s="20">
        <v>3844057</v>
      </c>
      <c r="B21" s="9">
        <f>1+B20</f>
        <v>15</v>
      </c>
      <c r="C21" s="10" t="s">
        <v>9</v>
      </c>
      <c r="D21" s="11">
        <v>25000</v>
      </c>
      <c r="E21" s="11"/>
      <c r="F21" s="136">
        <v>3000</v>
      </c>
      <c r="G21" s="11">
        <v>11000</v>
      </c>
      <c r="H21" s="11">
        <v>11000</v>
      </c>
      <c r="I21" s="12"/>
      <c r="J21" s="13"/>
      <c r="L21" s="20" t="s">
        <v>227</v>
      </c>
      <c r="M21" s="203">
        <v>4000</v>
      </c>
      <c r="N21" s="203">
        <v>4000</v>
      </c>
      <c r="O21" s="203">
        <v>3000</v>
      </c>
      <c r="P21" s="203">
        <v>3000</v>
      </c>
      <c r="Q21" s="207">
        <f>+Tabell2[[#This Row],[2020]]+Tabell2[[#This Row],[2019]]+Tabell2[[#This Row],[2018]]+Tabell2[[#This Row],[2017]]</f>
        <v>14000</v>
      </c>
    </row>
    <row r="22" spans="1:19" s="20" customFormat="1" x14ac:dyDescent="0.25">
      <c r="A22" s="20">
        <v>3844036</v>
      </c>
      <c r="B22" s="14">
        <f>1+B21</f>
        <v>16</v>
      </c>
      <c r="C22" s="15" t="s">
        <v>139</v>
      </c>
      <c r="D22" s="16">
        <f>15000+12000</f>
        <v>27000</v>
      </c>
      <c r="E22" s="16"/>
      <c r="F22" s="136">
        <f>7000-6000</f>
        <v>1000</v>
      </c>
      <c r="G22" s="16">
        <f>6000+8000</f>
        <v>14000</v>
      </c>
      <c r="H22" s="16">
        <v>12000</v>
      </c>
      <c r="I22" s="17"/>
      <c r="J22" s="18"/>
      <c r="L22" s="20" t="s">
        <v>228</v>
      </c>
      <c r="M22" s="203">
        <v>850</v>
      </c>
      <c r="N22" s="203">
        <v>901</v>
      </c>
      <c r="O22" s="203">
        <v>955</v>
      </c>
      <c r="P22" s="203">
        <v>1012</v>
      </c>
      <c r="Q22" s="207">
        <f>+Tabell2[[#This Row],[2020]]+Tabell2[[#This Row],[2019]]+Tabell2[[#This Row],[2018]]+Tabell2[[#This Row],[2017]]</f>
        <v>3718</v>
      </c>
    </row>
    <row r="23" spans="1:19" s="20" customFormat="1" x14ac:dyDescent="0.25">
      <c r="B23" s="9">
        <f>1+B22</f>
        <v>17</v>
      </c>
      <c r="C23" s="10" t="s">
        <v>135</v>
      </c>
      <c r="D23" s="11">
        <v>17000</v>
      </c>
      <c r="E23" s="11"/>
      <c r="F23" s="136"/>
      <c r="G23" s="11">
        <v>17000</v>
      </c>
      <c r="H23" s="11"/>
      <c r="I23" s="12"/>
      <c r="J23" s="13"/>
      <c r="L23" s="20" t="s">
        <v>229</v>
      </c>
      <c r="M23" s="203">
        <v>7000</v>
      </c>
      <c r="N23" s="203">
        <v>0</v>
      </c>
      <c r="O23" s="203">
        <v>0</v>
      </c>
      <c r="P23" s="203">
        <v>0</v>
      </c>
      <c r="Q23" s="207">
        <f>+Tabell2[[#This Row],[2020]]+Tabell2[[#This Row],[2019]]+Tabell2[[#This Row],[2018]]+Tabell2[[#This Row],[2017]]</f>
        <v>7000</v>
      </c>
    </row>
    <row r="24" spans="1:19" s="20" customFormat="1" x14ac:dyDescent="0.25">
      <c r="A24" s="20">
        <v>39144814</v>
      </c>
      <c r="B24" s="14">
        <f>B23+1</f>
        <v>18</v>
      </c>
      <c r="C24" s="15" t="s">
        <v>10</v>
      </c>
      <c r="D24" s="16">
        <v>210000</v>
      </c>
      <c r="E24" s="16">
        <v>156</v>
      </c>
      <c r="F24" s="136"/>
      <c r="G24" s="16">
        <v>2500</v>
      </c>
      <c r="H24" s="16">
        <f>80000-2600-50000-17000-5400</f>
        <v>5000</v>
      </c>
      <c r="I24" s="17">
        <f>102000-50000-42000</f>
        <v>10000</v>
      </c>
      <c r="J24" s="18">
        <f>50000-30000</f>
        <v>20000</v>
      </c>
      <c r="L24" s="20" t="s">
        <v>230</v>
      </c>
      <c r="M24" s="200">
        <f>SUM(Tabell2[2017])</f>
        <v>1524444</v>
      </c>
      <c r="N24" s="200">
        <f>SUM(Tabell2[2018])</f>
        <v>1201801</v>
      </c>
      <c r="O24" s="200">
        <f>SUM(Tabell2[2019])</f>
        <v>1233905</v>
      </c>
      <c r="P24" s="200">
        <f>SUM(Tabell2[2020])</f>
        <v>1072662</v>
      </c>
      <c r="Q24" s="200">
        <f>SUM(Tabell2[Totalt])</f>
        <v>5032812</v>
      </c>
    </row>
    <row r="25" spans="1:19" s="20" customFormat="1" x14ac:dyDescent="0.25">
      <c r="B25" s="185" t="s">
        <v>211</v>
      </c>
      <c r="C25" s="186" t="s">
        <v>199</v>
      </c>
      <c r="D25" s="187"/>
      <c r="E25" s="187"/>
      <c r="F25" s="187"/>
      <c r="G25" s="187"/>
      <c r="H25" s="187"/>
      <c r="I25" s="188">
        <v>90000</v>
      </c>
      <c r="J25" s="189">
        <v>82500</v>
      </c>
      <c r="L25" s="1"/>
      <c r="M25" s="12"/>
      <c r="N25" s="1"/>
      <c r="O25" s="1"/>
      <c r="P25" s="1"/>
      <c r="Q25" s="12"/>
    </row>
    <row r="26" spans="1:19" s="20" customFormat="1" x14ac:dyDescent="0.25">
      <c r="A26" s="20">
        <v>3844035</v>
      </c>
      <c r="B26" s="9">
        <f>1+B24</f>
        <v>19</v>
      </c>
      <c r="C26" s="10" t="s">
        <v>164</v>
      </c>
      <c r="D26" s="11">
        <f>48000-23000</f>
        <v>25000</v>
      </c>
      <c r="E26" s="11"/>
      <c r="F26" s="136">
        <f>48000-44000-2500</f>
        <v>1500</v>
      </c>
      <c r="G26" s="11">
        <f>44000-23000+2500-23500</f>
        <v>0</v>
      </c>
      <c r="H26" s="11">
        <v>23500</v>
      </c>
      <c r="I26" s="12"/>
      <c r="J26" s="13"/>
      <c r="Q26" s="204"/>
    </row>
    <row r="27" spans="1:19" s="20" customFormat="1" x14ac:dyDescent="0.25">
      <c r="A27" s="20">
        <v>3844013</v>
      </c>
      <c r="B27" s="14">
        <f>1+B26</f>
        <v>20</v>
      </c>
      <c r="C27" s="15" t="s">
        <v>152</v>
      </c>
      <c r="D27" s="16">
        <v>146000</v>
      </c>
      <c r="E27" s="16"/>
      <c r="F27" s="136">
        <v>2000</v>
      </c>
      <c r="G27" s="16">
        <v>10000</v>
      </c>
      <c r="H27" s="16">
        <f>50000-10000</f>
        <v>40000</v>
      </c>
      <c r="I27" s="17">
        <v>94000</v>
      </c>
      <c r="J27" s="18"/>
      <c r="Q27" s="205"/>
    </row>
    <row r="28" spans="1:19" s="20" customFormat="1" x14ac:dyDescent="0.25">
      <c r="B28" s="9">
        <f t="shared" ref="B28:B34" si="1">1+B27</f>
        <v>21</v>
      </c>
      <c r="C28" s="20" t="s">
        <v>165</v>
      </c>
      <c r="D28" s="11">
        <v>196000</v>
      </c>
      <c r="E28" s="11"/>
      <c r="F28" s="136"/>
      <c r="G28" s="11"/>
      <c r="H28" s="11"/>
      <c r="I28" s="12">
        <v>1000</v>
      </c>
      <c r="J28" s="13">
        <v>2000</v>
      </c>
      <c r="N28" s="111"/>
      <c r="O28" s="111"/>
      <c r="P28" s="111"/>
      <c r="Q28" s="111"/>
      <c r="R28" s="205"/>
      <c r="S28" s="200"/>
    </row>
    <row r="29" spans="1:19" s="20" customFormat="1" ht="30" x14ac:dyDescent="0.25">
      <c r="A29" s="20">
        <v>3844015</v>
      </c>
      <c r="B29" s="14">
        <f t="shared" si="1"/>
        <v>22</v>
      </c>
      <c r="C29" s="15" t="s">
        <v>166</v>
      </c>
      <c r="D29" s="16">
        <v>40500</v>
      </c>
      <c r="E29" s="16"/>
      <c r="F29" s="136">
        <v>3000</v>
      </c>
      <c r="G29" s="16">
        <v>37500</v>
      </c>
      <c r="H29" s="16"/>
      <c r="I29" s="17"/>
      <c r="J29" s="18"/>
      <c r="M29" s="208"/>
      <c r="N29" s="208"/>
      <c r="O29" s="208"/>
      <c r="P29" s="208"/>
      <c r="R29" s="209"/>
    </row>
    <row r="30" spans="1:19" s="20" customFormat="1" ht="30" x14ac:dyDescent="0.25">
      <c r="A30" s="20">
        <v>3844016</v>
      </c>
      <c r="B30" s="9">
        <f t="shared" si="1"/>
        <v>23</v>
      </c>
      <c r="C30" s="20" t="s">
        <v>167</v>
      </c>
      <c r="D30" s="11">
        <f>30800+2500+100700</f>
        <v>134000</v>
      </c>
      <c r="E30" s="11"/>
      <c r="F30" s="136">
        <f>2000-1000</f>
        <v>1000</v>
      </c>
      <c r="G30" s="11">
        <v>11300</v>
      </c>
      <c r="H30" s="11">
        <f>1000+20000</f>
        <v>21000</v>
      </c>
      <c r="I30" s="12">
        <v>50000</v>
      </c>
      <c r="J30" s="13">
        <v>50700</v>
      </c>
      <c r="N30" s="205"/>
      <c r="R30" s="205"/>
      <c r="S30" s="205"/>
    </row>
    <row r="31" spans="1:19" s="20" customFormat="1" x14ac:dyDescent="0.25">
      <c r="B31" s="14">
        <f t="shared" si="1"/>
        <v>24</v>
      </c>
      <c r="C31" s="100" t="s">
        <v>136</v>
      </c>
      <c r="D31" s="16">
        <f>11000+900</f>
        <v>11900</v>
      </c>
      <c r="E31" s="16"/>
      <c r="F31" s="136"/>
      <c r="G31" s="16">
        <f>11000+900</f>
        <v>11900</v>
      </c>
      <c r="H31" s="16"/>
      <c r="I31" s="17"/>
      <c r="J31" s="18"/>
      <c r="R31" s="205"/>
    </row>
    <row r="32" spans="1:19" s="20" customFormat="1" x14ac:dyDescent="0.25">
      <c r="B32" s="9">
        <f t="shared" si="1"/>
        <v>25</v>
      </c>
      <c r="C32" s="1" t="s">
        <v>11</v>
      </c>
      <c r="D32" s="11">
        <v>11000</v>
      </c>
      <c r="E32" s="11"/>
      <c r="F32" s="136"/>
      <c r="G32" s="11">
        <v>11000</v>
      </c>
      <c r="H32" s="11"/>
      <c r="I32" s="12"/>
      <c r="J32" s="13"/>
    </row>
    <row r="33" spans="1:17" s="20" customFormat="1" x14ac:dyDescent="0.25">
      <c r="A33" s="20">
        <v>4703</v>
      </c>
      <c r="B33" s="14">
        <f t="shared" si="1"/>
        <v>26</v>
      </c>
      <c r="C33" s="15" t="s">
        <v>12</v>
      </c>
      <c r="D33" s="16"/>
      <c r="E33" s="16"/>
      <c r="F33" s="136">
        <v>2000</v>
      </c>
      <c r="G33" s="16">
        <v>2000</v>
      </c>
      <c r="H33" s="16">
        <v>2000</v>
      </c>
      <c r="I33" s="17">
        <v>2000</v>
      </c>
      <c r="J33" s="18">
        <v>2000</v>
      </c>
    </row>
    <row r="34" spans="1:17" s="20" customFormat="1" x14ac:dyDescent="0.25">
      <c r="A34" s="20">
        <v>4706</v>
      </c>
      <c r="B34" s="9">
        <f t="shared" si="1"/>
        <v>27</v>
      </c>
      <c r="C34" s="10" t="s">
        <v>13</v>
      </c>
      <c r="D34" s="11"/>
      <c r="E34" s="11"/>
      <c r="F34" s="136">
        <v>2500</v>
      </c>
      <c r="G34" s="11">
        <v>2500</v>
      </c>
      <c r="H34" s="11">
        <v>2500</v>
      </c>
      <c r="I34" s="12">
        <v>2500</v>
      </c>
      <c r="J34" s="13">
        <v>2500</v>
      </c>
    </row>
    <row r="35" spans="1:17" s="156" customFormat="1" ht="36.75" customHeight="1" x14ac:dyDescent="0.25">
      <c r="B35" s="39"/>
      <c r="C35" s="40" t="s">
        <v>14</v>
      </c>
      <c r="D35" s="161">
        <f>SUM(D19:D34)</f>
        <v>1380400</v>
      </c>
      <c r="E35" s="161"/>
      <c r="F35" s="162">
        <f>SUM(F18:F34)</f>
        <v>18000</v>
      </c>
      <c r="G35" s="161">
        <f>SUM(G18:G34)</f>
        <v>137700</v>
      </c>
      <c r="H35" s="161">
        <f>SUM(H18:H34)</f>
        <v>248000</v>
      </c>
      <c r="I35" s="161">
        <f>SUM(I18:I34)</f>
        <v>401500</v>
      </c>
      <c r="J35" s="159">
        <f>SUM(J18:J34)</f>
        <v>328700</v>
      </c>
      <c r="L35" s="20"/>
      <c r="M35" s="20"/>
      <c r="N35" s="20"/>
      <c r="O35" s="20"/>
      <c r="P35" s="20"/>
      <c r="Q35" s="20"/>
    </row>
    <row r="36" spans="1:17" x14ac:dyDescent="0.25">
      <c r="B36" s="30"/>
      <c r="C36" s="7" t="s">
        <v>15</v>
      </c>
      <c r="D36" s="31"/>
      <c r="E36" s="31"/>
      <c r="F36" s="136"/>
      <c r="G36" s="16"/>
      <c r="H36" s="16"/>
      <c r="I36" s="17"/>
      <c r="J36" s="18"/>
      <c r="L36" s="20"/>
      <c r="M36" s="20"/>
      <c r="N36" s="20"/>
      <c r="O36" s="20"/>
      <c r="P36" s="20"/>
      <c r="Q36" s="20"/>
    </row>
    <row r="37" spans="1:17" s="1" customFormat="1" x14ac:dyDescent="0.25">
      <c r="A37" s="1">
        <v>3844049</v>
      </c>
      <c r="B37" s="9">
        <f>1+B34</f>
        <v>28</v>
      </c>
      <c r="C37" s="114" t="s">
        <v>169</v>
      </c>
      <c r="D37" s="11">
        <v>36000</v>
      </c>
      <c r="E37" s="11"/>
      <c r="F37" s="136">
        <f>1000+2000-2900</f>
        <v>100</v>
      </c>
      <c r="G37" s="11">
        <v>15000</v>
      </c>
      <c r="H37" s="11">
        <f>14000+4000+2900</f>
        <v>20900</v>
      </c>
      <c r="I37" s="12"/>
      <c r="J37" s="13"/>
      <c r="L37" s="20"/>
      <c r="M37" s="20"/>
      <c r="N37" s="20"/>
      <c r="O37" s="20"/>
      <c r="P37" s="20"/>
      <c r="Q37" s="20"/>
    </row>
    <row r="38" spans="1:17" s="1" customFormat="1" ht="30" x14ac:dyDescent="0.25">
      <c r="A38" s="1">
        <v>3844050</v>
      </c>
      <c r="B38" s="14">
        <f>1+B37</f>
        <v>29</v>
      </c>
      <c r="C38" s="70" t="s">
        <v>168</v>
      </c>
      <c r="D38" s="16">
        <v>47000</v>
      </c>
      <c r="E38" s="16"/>
      <c r="F38" s="136">
        <f>5000-5000</f>
        <v>0</v>
      </c>
      <c r="G38" s="16"/>
      <c r="H38" s="16">
        <v>5000</v>
      </c>
      <c r="I38" s="17">
        <v>30000</v>
      </c>
      <c r="J38" s="18">
        <v>12000</v>
      </c>
      <c r="L38" s="20"/>
      <c r="M38" s="20"/>
      <c r="N38" s="20"/>
      <c r="O38" s="20"/>
      <c r="P38" s="20"/>
      <c r="Q38" s="20"/>
    </row>
    <row r="39" spans="1:17" s="1" customFormat="1" ht="30" x14ac:dyDescent="0.25">
      <c r="A39" s="1">
        <v>3844051</v>
      </c>
      <c r="B39" s="9">
        <f>1+B38</f>
        <v>30</v>
      </c>
      <c r="C39" s="10" t="s">
        <v>170</v>
      </c>
      <c r="D39" s="11">
        <v>45000</v>
      </c>
      <c r="E39" s="11"/>
      <c r="F39" s="136">
        <f>3100+6900</f>
        <v>10000</v>
      </c>
      <c r="G39" s="11">
        <f>20000-10000-6900</f>
        <v>3100</v>
      </c>
      <c r="H39" s="11">
        <f>5000+15000</f>
        <v>20000</v>
      </c>
      <c r="I39" s="12">
        <f>15000-3100</f>
        <v>11900</v>
      </c>
      <c r="J39" s="13"/>
      <c r="L39" s="20"/>
      <c r="M39" s="20"/>
      <c r="N39" s="20"/>
      <c r="O39" s="20"/>
      <c r="P39" s="20"/>
      <c r="Q39" s="20"/>
    </row>
    <row r="40" spans="1:17" s="1" customFormat="1" ht="30" x14ac:dyDescent="0.25">
      <c r="A40" s="1">
        <v>3844018</v>
      </c>
      <c r="B40" s="14">
        <f>1+B39</f>
        <v>31</v>
      </c>
      <c r="C40" s="15" t="s">
        <v>141</v>
      </c>
      <c r="D40" s="16">
        <v>20000</v>
      </c>
      <c r="E40" s="16"/>
      <c r="F40" s="136">
        <f>2000-2000</f>
        <v>0</v>
      </c>
      <c r="G40" s="16">
        <f>15000-15000</f>
        <v>0</v>
      </c>
      <c r="H40" s="16">
        <f>3000-3000</f>
        <v>0</v>
      </c>
      <c r="I40" s="17">
        <v>2000</v>
      </c>
      <c r="J40" s="18">
        <v>15000</v>
      </c>
      <c r="L40" s="20"/>
      <c r="M40" s="20"/>
      <c r="N40" s="20"/>
      <c r="O40" s="20"/>
      <c r="P40" s="20"/>
      <c r="Q40" s="20"/>
    </row>
    <row r="41" spans="1:17" s="1" customFormat="1" x14ac:dyDescent="0.25">
      <c r="A41" s="1">
        <v>4705</v>
      </c>
      <c r="B41" s="45">
        <f>1+B40</f>
        <v>32</v>
      </c>
      <c r="C41" s="10" t="s">
        <v>16</v>
      </c>
      <c r="D41" s="11"/>
      <c r="E41" s="11"/>
      <c r="F41" s="136">
        <v>2000</v>
      </c>
      <c r="G41" s="11">
        <v>2000</v>
      </c>
      <c r="H41" s="11">
        <v>2000</v>
      </c>
      <c r="I41" s="12">
        <v>2000</v>
      </c>
      <c r="J41" s="13">
        <v>2000</v>
      </c>
      <c r="L41" s="156"/>
      <c r="M41" s="156"/>
      <c r="N41" s="156"/>
      <c r="O41" s="156"/>
      <c r="P41" s="156"/>
      <c r="Q41" s="156"/>
    </row>
    <row r="42" spans="1:17" s="1" customFormat="1" x14ac:dyDescent="0.25">
      <c r="A42" s="1">
        <v>4021</v>
      </c>
      <c r="B42" s="44">
        <f>1+B41</f>
        <v>33</v>
      </c>
      <c r="C42" s="15" t="s">
        <v>17</v>
      </c>
      <c r="D42" s="16"/>
      <c r="E42" s="16"/>
      <c r="F42" s="136">
        <v>1000</v>
      </c>
      <c r="G42" s="16">
        <v>1000</v>
      </c>
      <c r="H42" s="16">
        <v>1000</v>
      </c>
      <c r="I42" s="17">
        <v>2000</v>
      </c>
      <c r="J42" s="18">
        <v>1000</v>
      </c>
      <c r="L42" s="2"/>
      <c r="M42" s="2"/>
      <c r="N42" s="2"/>
      <c r="O42" s="2"/>
      <c r="P42" s="2"/>
      <c r="Q42" s="2"/>
    </row>
    <row r="43" spans="1:17" s="160" customFormat="1" ht="35.25" customHeight="1" x14ac:dyDescent="0.25">
      <c r="A43" s="156"/>
      <c r="B43" s="47"/>
      <c r="C43" s="40" t="s">
        <v>18</v>
      </c>
      <c r="D43" s="161">
        <f>SUM(D37:D42)</f>
        <v>148000</v>
      </c>
      <c r="E43" s="161"/>
      <c r="F43" s="162">
        <f>SUM(F37:F42)</f>
        <v>13100</v>
      </c>
      <c r="G43" s="161">
        <f>SUM(G37:G42)</f>
        <v>21100</v>
      </c>
      <c r="H43" s="161">
        <f>SUM(H37:H42)</f>
        <v>48900</v>
      </c>
      <c r="I43" s="161">
        <f>SUM(I37:I42)</f>
        <v>47900</v>
      </c>
      <c r="J43" s="159">
        <f>SUM(J36:J42)</f>
        <v>30000</v>
      </c>
      <c r="L43" s="1"/>
      <c r="M43" s="1"/>
      <c r="N43" s="1"/>
      <c r="O43" s="1"/>
      <c r="P43" s="1"/>
      <c r="Q43" s="1"/>
    </row>
    <row r="44" spans="1:17" x14ac:dyDescent="0.25">
      <c r="B44" s="30"/>
      <c r="C44" s="7" t="s">
        <v>19</v>
      </c>
      <c r="D44" s="31"/>
      <c r="E44" s="31"/>
      <c r="F44" s="136"/>
      <c r="G44" s="16"/>
      <c r="H44" s="16"/>
      <c r="I44" s="17"/>
      <c r="J44" s="18"/>
      <c r="L44" s="1"/>
      <c r="M44" s="1"/>
      <c r="N44" s="1"/>
      <c r="O44" s="1"/>
      <c r="P44" s="1"/>
      <c r="Q44" s="1"/>
    </row>
    <row r="45" spans="1:17" s="1" customFormat="1" x14ac:dyDescent="0.25">
      <c r="A45" s="1">
        <v>3844052</v>
      </c>
      <c r="B45" s="9">
        <f>1+B42</f>
        <v>34</v>
      </c>
      <c r="C45" s="115" t="s">
        <v>20</v>
      </c>
      <c r="D45" s="11"/>
      <c r="E45" s="11"/>
      <c r="F45" s="136">
        <f>1000-500</f>
        <v>500</v>
      </c>
      <c r="G45" s="11">
        <f>500+1000</f>
        <v>1500</v>
      </c>
      <c r="H45" s="11"/>
      <c r="I45" s="12"/>
      <c r="J45" s="13"/>
    </row>
    <row r="46" spans="1:17" s="20" customFormat="1" ht="30" x14ac:dyDescent="0.25">
      <c r="A46" s="20">
        <v>4333</v>
      </c>
      <c r="B46" s="14">
        <f>1+B45</f>
        <v>35</v>
      </c>
      <c r="C46" s="15" t="s">
        <v>179</v>
      </c>
      <c r="D46" s="16">
        <f>35000+55000</f>
        <v>90000</v>
      </c>
      <c r="E46" s="16">
        <v>578</v>
      </c>
      <c r="F46" s="136">
        <f>38900-36400-1000</f>
        <v>1500</v>
      </c>
      <c r="G46" s="16">
        <f>30000+500-10000</f>
        <v>20500</v>
      </c>
      <c r="H46" s="16">
        <f>20000+26400-10000+1000</f>
        <v>37400</v>
      </c>
      <c r="I46" s="17">
        <f>10000+20000</f>
        <v>30000</v>
      </c>
      <c r="J46" s="18"/>
      <c r="L46" s="1"/>
      <c r="M46" s="1"/>
      <c r="N46" s="1"/>
      <c r="O46" s="1"/>
      <c r="P46" s="1"/>
      <c r="Q46" s="1"/>
    </row>
    <row r="47" spans="1:17" s="48" customFormat="1" ht="30" x14ac:dyDescent="0.25">
      <c r="A47" s="48">
        <v>391444803</v>
      </c>
      <c r="B47" s="49">
        <f>1+B46</f>
        <v>36</v>
      </c>
      <c r="C47" s="50" t="s">
        <v>171</v>
      </c>
      <c r="D47" s="51">
        <f>37000+15000</f>
        <v>52000</v>
      </c>
      <c r="E47" s="51">
        <v>2758</v>
      </c>
      <c r="F47" s="136">
        <v>23800</v>
      </c>
      <c r="G47" s="51">
        <v>23000</v>
      </c>
      <c r="H47" s="51">
        <v>2400</v>
      </c>
      <c r="I47" s="52"/>
      <c r="J47" s="53"/>
      <c r="L47" s="1"/>
      <c r="M47" s="1"/>
      <c r="N47" s="1"/>
      <c r="O47" s="1"/>
      <c r="P47" s="1"/>
      <c r="Q47" s="1"/>
    </row>
    <row r="48" spans="1:17" s="20" customFormat="1" x14ac:dyDescent="0.25">
      <c r="A48" s="20">
        <v>3844031</v>
      </c>
      <c r="B48" s="14">
        <f>1+B47</f>
        <v>37</v>
      </c>
      <c r="C48" s="15" t="s">
        <v>142</v>
      </c>
      <c r="D48" s="16">
        <v>5000</v>
      </c>
      <c r="E48" s="16"/>
      <c r="F48" s="136">
        <f>5000-2000</f>
        <v>3000</v>
      </c>
      <c r="G48" s="16">
        <v>2000</v>
      </c>
      <c r="H48" s="16"/>
      <c r="I48" s="17"/>
      <c r="J48" s="18"/>
      <c r="L48" s="1"/>
      <c r="M48" s="1"/>
      <c r="N48" s="1"/>
      <c r="O48" s="1"/>
      <c r="P48" s="1"/>
      <c r="Q48" s="1"/>
    </row>
    <row r="49" spans="1:17" s="48" customFormat="1" x14ac:dyDescent="0.25">
      <c r="A49" s="48">
        <v>391244868</v>
      </c>
      <c r="B49" s="49">
        <f>B48+1</f>
        <v>38</v>
      </c>
      <c r="C49" s="50" t="s">
        <v>180</v>
      </c>
      <c r="D49" s="51"/>
      <c r="E49" s="51"/>
      <c r="F49" s="136">
        <f>2000-2000</f>
        <v>0</v>
      </c>
      <c r="G49" s="51">
        <v>2000</v>
      </c>
      <c r="H49" s="51"/>
      <c r="I49" s="52"/>
      <c r="J49" s="53"/>
      <c r="L49" s="160"/>
      <c r="M49" s="160"/>
      <c r="N49" s="160"/>
      <c r="O49" s="160"/>
      <c r="P49" s="160"/>
      <c r="Q49" s="160"/>
    </row>
    <row r="50" spans="1:17" s="1" customFormat="1" ht="30" x14ac:dyDescent="0.25">
      <c r="A50" s="1">
        <v>3844038</v>
      </c>
      <c r="B50" s="14">
        <f>1+B49</f>
        <v>39</v>
      </c>
      <c r="C50" s="54" t="s">
        <v>178</v>
      </c>
      <c r="D50" s="16">
        <v>12000</v>
      </c>
      <c r="E50" s="16"/>
      <c r="F50" s="136">
        <f>6000-3000-1000</f>
        <v>2000</v>
      </c>
      <c r="G50" s="16">
        <f>6000+3000+1000</f>
        <v>10000</v>
      </c>
      <c r="H50" s="16"/>
      <c r="I50" s="17"/>
      <c r="J50" s="18"/>
      <c r="L50" s="2"/>
      <c r="M50" s="2"/>
      <c r="N50" s="2"/>
      <c r="O50" s="2"/>
      <c r="P50" s="2"/>
      <c r="Q50" s="2"/>
    </row>
    <row r="51" spans="1:17" s="48" customFormat="1" ht="30" x14ac:dyDescent="0.25">
      <c r="A51" s="48">
        <v>4337</v>
      </c>
      <c r="B51" s="49">
        <f t="shared" ref="B51:B58" si="2">1+B50</f>
        <v>40</v>
      </c>
      <c r="C51" s="50" t="s">
        <v>172</v>
      </c>
      <c r="D51" s="51">
        <f>470000+4000</f>
        <v>474000</v>
      </c>
      <c r="E51" s="51">
        <v>103532</v>
      </c>
      <c r="F51" s="136">
        <f>150400+44600</f>
        <v>195000</v>
      </c>
      <c r="G51" s="51">
        <f>229000-37900-44600</f>
        <v>146500</v>
      </c>
      <c r="H51" s="51">
        <f>25000+4000</f>
        <v>29000</v>
      </c>
      <c r="I51" s="52"/>
      <c r="J51" s="53"/>
      <c r="L51" s="1"/>
      <c r="M51" s="1"/>
      <c r="N51" s="1"/>
      <c r="O51" s="1"/>
      <c r="P51" s="1"/>
      <c r="Q51" s="1"/>
    </row>
    <row r="52" spans="1:17" s="20" customFormat="1" ht="30" x14ac:dyDescent="0.25">
      <c r="A52" s="20">
        <v>3844021</v>
      </c>
      <c r="B52" s="14">
        <f t="shared" si="2"/>
        <v>41</v>
      </c>
      <c r="C52" s="15" t="s">
        <v>173</v>
      </c>
      <c r="D52" s="16">
        <v>60000</v>
      </c>
      <c r="E52" s="16">
        <v>36</v>
      </c>
      <c r="F52" s="136">
        <f>2000-1500</f>
        <v>500</v>
      </c>
      <c r="G52" s="16">
        <f>38000+2000-25000</f>
        <v>15000</v>
      </c>
      <c r="H52" s="16">
        <f>15000+25000</f>
        <v>40000</v>
      </c>
      <c r="I52" s="17">
        <f>3000+1500</f>
        <v>4500</v>
      </c>
      <c r="J52" s="18"/>
    </row>
    <row r="53" spans="1:17" s="48" customFormat="1" ht="30" x14ac:dyDescent="0.25">
      <c r="A53" s="48">
        <v>3844023</v>
      </c>
      <c r="B53" s="49">
        <f t="shared" si="2"/>
        <v>42</v>
      </c>
      <c r="C53" s="50" t="s">
        <v>195</v>
      </c>
      <c r="D53" s="51">
        <v>3000</v>
      </c>
      <c r="E53" s="51"/>
      <c r="F53" s="136">
        <f>1500-1500</f>
        <v>0</v>
      </c>
      <c r="G53" s="51">
        <f>1500+1500</f>
        <v>3000</v>
      </c>
      <c r="H53" s="51"/>
      <c r="I53" s="52"/>
      <c r="J53" s="53"/>
    </row>
    <row r="54" spans="1:17" s="20" customFormat="1" x14ac:dyDescent="0.25">
      <c r="B54" s="14">
        <f t="shared" si="2"/>
        <v>43</v>
      </c>
      <c r="C54" s="15" t="s">
        <v>133</v>
      </c>
      <c r="D54" s="16"/>
      <c r="E54" s="16"/>
      <c r="F54" s="136"/>
      <c r="G54" s="16">
        <v>2000</v>
      </c>
      <c r="H54" s="16">
        <v>3000</v>
      </c>
      <c r="I54" s="17">
        <v>4000</v>
      </c>
      <c r="J54" s="18">
        <v>4000</v>
      </c>
    </row>
    <row r="55" spans="1:17" s="48" customFormat="1" x14ac:dyDescent="0.25">
      <c r="B55" s="49">
        <f t="shared" si="2"/>
        <v>44</v>
      </c>
      <c r="C55" s="50" t="s">
        <v>181</v>
      </c>
      <c r="D55" s="51"/>
      <c r="E55" s="51"/>
      <c r="F55" s="136"/>
      <c r="G55" s="51"/>
      <c r="H55" s="51">
        <v>2000</v>
      </c>
      <c r="I55" s="52"/>
      <c r="J55" s="53"/>
    </row>
    <row r="56" spans="1:17" s="48" customFormat="1" x14ac:dyDescent="0.25">
      <c r="B56" s="185" t="s">
        <v>211</v>
      </c>
      <c r="C56" s="186" t="s">
        <v>200</v>
      </c>
      <c r="D56" s="187"/>
      <c r="E56" s="187"/>
      <c r="F56" s="187"/>
      <c r="G56" s="190">
        <v>-2000</v>
      </c>
      <c r="H56" s="187"/>
      <c r="I56" s="188"/>
      <c r="J56" s="189"/>
      <c r="L56" s="1"/>
      <c r="M56" s="1"/>
      <c r="N56" s="1"/>
      <c r="O56" s="1"/>
      <c r="P56" s="1"/>
      <c r="Q56" s="1"/>
    </row>
    <row r="57" spans="1:17" s="20" customFormat="1" ht="30" x14ac:dyDescent="0.25">
      <c r="B57" s="14">
        <f>1+B55</f>
        <v>45</v>
      </c>
      <c r="C57" s="15" t="s">
        <v>174</v>
      </c>
      <c r="D57" s="16">
        <v>40000</v>
      </c>
      <c r="E57" s="16"/>
      <c r="F57" s="136"/>
      <c r="G57" s="16">
        <v>40000</v>
      </c>
      <c r="H57" s="16"/>
      <c r="I57" s="17"/>
      <c r="J57" s="18"/>
      <c r="L57" s="48"/>
      <c r="M57" s="48"/>
      <c r="N57" s="48"/>
      <c r="O57" s="48"/>
      <c r="P57" s="48"/>
      <c r="Q57" s="48"/>
    </row>
    <row r="58" spans="1:17" s="48" customFormat="1" x14ac:dyDescent="0.25">
      <c r="A58" s="48">
        <v>3844040</v>
      </c>
      <c r="B58" s="49">
        <f t="shared" si="2"/>
        <v>46</v>
      </c>
      <c r="C58" s="48" t="s">
        <v>175</v>
      </c>
      <c r="D58" s="51">
        <v>3000</v>
      </c>
      <c r="E58" s="51"/>
      <c r="F58" s="136">
        <v>2000</v>
      </c>
      <c r="G58" s="51">
        <v>1000</v>
      </c>
      <c r="H58" s="51"/>
      <c r="I58" s="52"/>
      <c r="J58" s="53"/>
      <c r="L58" s="20"/>
      <c r="M58" s="20"/>
      <c r="N58" s="20"/>
      <c r="O58" s="20"/>
      <c r="P58" s="20"/>
      <c r="Q58" s="20"/>
    </row>
    <row r="59" spans="1:17" s="48" customFormat="1" ht="30" x14ac:dyDescent="0.25">
      <c r="A59" s="48">
        <v>3844041</v>
      </c>
      <c r="B59" s="14">
        <f>1+B58</f>
        <v>47</v>
      </c>
      <c r="C59" s="54" t="s">
        <v>21</v>
      </c>
      <c r="D59" s="16">
        <v>2000</v>
      </c>
      <c r="E59" s="16"/>
      <c r="F59" s="136">
        <v>1000</v>
      </c>
      <c r="G59" s="16">
        <v>1000</v>
      </c>
      <c r="H59" s="16"/>
      <c r="I59" s="17"/>
      <c r="J59" s="18"/>
    </row>
    <row r="60" spans="1:17" s="20" customFormat="1" x14ac:dyDescent="0.25">
      <c r="A60" s="20">
        <v>4711</v>
      </c>
      <c r="B60" s="9">
        <f>1+B59</f>
        <v>48</v>
      </c>
      <c r="C60" s="10" t="s">
        <v>22</v>
      </c>
      <c r="D60" s="11"/>
      <c r="E60" s="11"/>
      <c r="F60" s="136">
        <v>1000</v>
      </c>
      <c r="G60" s="11">
        <v>1000</v>
      </c>
      <c r="H60" s="11">
        <v>1000</v>
      </c>
      <c r="I60" s="11">
        <v>1000</v>
      </c>
      <c r="J60" s="24">
        <v>1000</v>
      </c>
    </row>
    <row r="61" spans="1:17" s="48" customFormat="1" x14ac:dyDescent="0.25">
      <c r="A61" s="48">
        <v>39124400001</v>
      </c>
      <c r="B61" s="49">
        <f>1+B60</f>
        <v>49</v>
      </c>
      <c r="C61" s="50" t="s">
        <v>176</v>
      </c>
      <c r="D61" s="51">
        <v>25000</v>
      </c>
      <c r="E61" s="51">
        <v>257</v>
      </c>
      <c r="F61" s="136">
        <f>18900-9900</f>
        <v>9000</v>
      </c>
      <c r="G61" s="51">
        <f>4000+1800+9900</f>
        <v>15700</v>
      </c>
      <c r="H61" s="51"/>
      <c r="I61" s="52"/>
      <c r="J61" s="53"/>
    </row>
    <row r="62" spans="1:17" s="20" customFormat="1" x14ac:dyDescent="0.25">
      <c r="A62" s="20">
        <v>39124400002</v>
      </c>
      <c r="B62" s="14">
        <f>1+B61</f>
        <v>50</v>
      </c>
      <c r="C62" s="15" t="s">
        <v>177</v>
      </c>
      <c r="D62" s="16">
        <f>25000+1500</f>
        <v>26500</v>
      </c>
      <c r="E62" s="16">
        <v>2424</v>
      </c>
      <c r="F62" s="136">
        <f>12800+2200-7000</f>
        <v>8000</v>
      </c>
      <c r="G62" s="16">
        <f>10000-900+7000</f>
        <v>16100</v>
      </c>
      <c r="H62" s="16"/>
      <c r="I62" s="17"/>
      <c r="J62" s="18"/>
      <c r="L62" s="48"/>
      <c r="M62" s="48"/>
      <c r="N62" s="48"/>
      <c r="O62" s="48"/>
      <c r="P62" s="48"/>
      <c r="Q62" s="48"/>
    </row>
    <row r="63" spans="1:17" s="160" customFormat="1" ht="33.75" customHeight="1" x14ac:dyDescent="0.25">
      <c r="A63" s="156"/>
      <c r="B63" s="55"/>
      <c r="C63" s="56" t="s">
        <v>23</v>
      </c>
      <c r="D63" s="163">
        <f>SUM(D44:D62)</f>
        <v>792500</v>
      </c>
      <c r="E63" s="163"/>
      <c r="F63" s="162">
        <f>SUM(F44:F62)</f>
        <v>247300</v>
      </c>
      <c r="G63" s="161">
        <f>SUM(G44:G62)</f>
        <v>298300</v>
      </c>
      <c r="H63" s="161">
        <f>SUM(H44:H62)</f>
        <v>114800</v>
      </c>
      <c r="I63" s="161">
        <f>SUM(I44:I62)</f>
        <v>39500</v>
      </c>
      <c r="J63" s="159">
        <f>SUM(J44:J62)</f>
        <v>5000</v>
      </c>
      <c r="L63" s="20"/>
      <c r="M63" s="20"/>
      <c r="N63" s="20"/>
      <c r="O63" s="20"/>
      <c r="P63" s="20"/>
      <c r="Q63" s="20"/>
    </row>
    <row r="64" spans="1:17" x14ac:dyDescent="0.25">
      <c r="B64" s="30"/>
      <c r="C64" s="7" t="s">
        <v>24</v>
      </c>
      <c r="D64" s="31"/>
      <c r="E64" s="31"/>
      <c r="F64" s="136"/>
      <c r="G64" s="16"/>
      <c r="H64" s="16"/>
      <c r="I64" s="17"/>
      <c r="J64" s="18"/>
      <c r="L64" s="48"/>
      <c r="M64" s="48"/>
      <c r="N64" s="48"/>
      <c r="O64" s="48"/>
      <c r="P64" s="48"/>
      <c r="Q64" s="48"/>
    </row>
    <row r="65" spans="1:17" s="1" customFormat="1" x14ac:dyDescent="0.25">
      <c r="A65" s="1">
        <v>4712</v>
      </c>
      <c r="B65" s="9">
        <f>1+B62</f>
        <v>51</v>
      </c>
      <c r="C65" s="10" t="s">
        <v>25</v>
      </c>
      <c r="D65" s="11"/>
      <c r="E65" s="11"/>
      <c r="F65" s="136">
        <v>500</v>
      </c>
      <c r="G65" s="11">
        <v>500</v>
      </c>
      <c r="H65" s="11">
        <v>500</v>
      </c>
      <c r="I65" s="12">
        <f>+H65</f>
        <v>500</v>
      </c>
      <c r="J65" s="13">
        <v>500</v>
      </c>
      <c r="L65" s="48"/>
      <c r="M65" s="48"/>
      <c r="N65" s="48"/>
      <c r="O65" s="48"/>
      <c r="P65" s="48"/>
      <c r="Q65" s="48"/>
    </row>
    <row r="66" spans="1:17" s="1" customFormat="1" x14ac:dyDescent="0.25">
      <c r="B66" s="14">
        <f>1+B65</f>
        <v>52</v>
      </c>
      <c r="C66" s="15" t="s">
        <v>143</v>
      </c>
      <c r="D66" s="16">
        <v>78000</v>
      </c>
      <c r="E66" s="16"/>
      <c r="F66" s="136"/>
      <c r="G66" s="16"/>
      <c r="H66" s="16">
        <v>1000</v>
      </c>
      <c r="I66" s="17">
        <v>10000</v>
      </c>
      <c r="J66" s="18">
        <v>40000</v>
      </c>
      <c r="L66" s="20"/>
      <c r="M66" s="20"/>
      <c r="N66" s="20"/>
      <c r="O66" s="20"/>
      <c r="P66" s="20"/>
      <c r="Q66" s="20"/>
    </row>
    <row r="67" spans="1:17" s="58" customFormat="1" x14ac:dyDescent="0.25">
      <c r="B67" s="49">
        <f>+B66+1</f>
        <v>53</v>
      </c>
      <c r="C67" s="50" t="s">
        <v>182</v>
      </c>
      <c r="D67" s="51">
        <v>29200</v>
      </c>
      <c r="E67" s="51"/>
      <c r="F67" s="136"/>
      <c r="G67" s="51"/>
      <c r="H67" s="51"/>
      <c r="I67" s="52"/>
      <c r="J67" s="53">
        <v>5000</v>
      </c>
      <c r="L67" s="48"/>
      <c r="M67" s="48"/>
      <c r="N67" s="48"/>
      <c r="O67" s="48"/>
      <c r="P67" s="48"/>
      <c r="Q67" s="48"/>
    </row>
    <row r="68" spans="1:17" s="58" customFormat="1" x14ac:dyDescent="0.25">
      <c r="B68" s="185" t="s">
        <v>211</v>
      </c>
      <c r="C68" s="186" t="s">
        <v>198</v>
      </c>
      <c r="D68" s="187">
        <v>35000</v>
      </c>
      <c r="E68" s="187"/>
      <c r="F68" s="187"/>
      <c r="G68" s="187">
        <v>5000</v>
      </c>
      <c r="H68" s="187">
        <v>15000</v>
      </c>
      <c r="I68" s="188">
        <v>15000</v>
      </c>
      <c r="J68" s="189"/>
      <c r="L68" s="20"/>
      <c r="M68" s="20"/>
      <c r="N68" s="20"/>
      <c r="O68" s="20"/>
      <c r="P68" s="20"/>
      <c r="Q68" s="20"/>
    </row>
    <row r="69" spans="1:17" s="19" customFormat="1" x14ac:dyDescent="0.25">
      <c r="A69" s="1">
        <v>3844024</v>
      </c>
      <c r="B69" s="14">
        <f>1+B67</f>
        <v>54</v>
      </c>
      <c r="C69" s="15" t="s">
        <v>183</v>
      </c>
      <c r="D69" s="16">
        <f>40000+39000+7000</f>
        <v>86000</v>
      </c>
      <c r="E69" s="16"/>
      <c r="F69" s="136">
        <v>10000</v>
      </c>
      <c r="G69" s="16">
        <f>30000</f>
        <v>30000</v>
      </c>
      <c r="H69" s="16">
        <v>46000</v>
      </c>
      <c r="I69" s="17"/>
      <c r="J69" s="18"/>
      <c r="L69" s="160"/>
      <c r="M69" s="160"/>
      <c r="N69" s="160"/>
      <c r="O69" s="160"/>
      <c r="P69" s="160"/>
      <c r="Q69" s="160"/>
    </row>
    <row r="70" spans="1:17" s="116" customFormat="1" ht="30" x14ac:dyDescent="0.25">
      <c r="A70" s="58"/>
      <c r="B70" s="49">
        <f>1+B69</f>
        <v>55</v>
      </c>
      <c r="C70" s="50" t="s">
        <v>184</v>
      </c>
      <c r="D70" s="51">
        <f>4500+62000</f>
        <v>66500</v>
      </c>
      <c r="E70" s="51"/>
      <c r="F70" s="136"/>
      <c r="G70" s="51">
        <f>10000-5000</f>
        <v>5000</v>
      </c>
      <c r="H70" s="51">
        <v>10000</v>
      </c>
      <c r="I70" s="52">
        <f>35000-5000</f>
        <v>30000</v>
      </c>
      <c r="J70" s="53">
        <v>7000</v>
      </c>
      <c r="K70" s="19"/>
      <c r="L70" s="2"/>
      <c r="M70" s="2"/>
      <c r="N70" s="2"/>
      <c r="O70" s="2"/>
      <c r="P70" s="2"/>
      <c r="Q70" s="2"/>
    </row>
    <row r="71" spans="1:17" s="116" customFormat="1" ht="30" x14ac:dyDescent="0.25">
      <c r="A71" s="58"/>
      <c r="B71" s="185" t="s">
        <v>211</v>
      </c>
      <c r="C71" s="186" t="s">
        <v>197</v>
      </c>
      <c r="D71" s="187"/>
      <c r="E71" s="187"/>
      <c r="F71" s="187"/>
      <c r="G71" s="190">
        <v>-5000</v>
      </c>
      <c r="H71" s="190">
        <v>-10000</v>
      </c>
      <c r="I71" s="190">
        <v>-30000</v>
      </c>
      <c r="J71" s="190">
        <v>-5500</v>
      </c>
      <c r="L71" s="1"/>
      <c r="M71" s="1"/>
      <c r="N71" s="1"/>
      <c r="O71" s="1"/>
      <c r="P71" s="1"/>
      <c r="Q71" s="1"/>
    </row>
    <row r="72" spans="1:17" s="19" customFormat="1" x14ac:dyDescent="0.25">
      <c r="A72" s="1"/>
      <c r="B72" s="14">
        <f>1+B70</f>
        <v>56</v>
      </c>
      <c r="C72" s="15" t="s">
        <v>185</v>
      </c>
      <c r="D72" s="16">
        <v>50000</v>
      </c>
      <c r="E72" s="16"/>
      <c r="F72" s="136"/>
      <c r="G72" s="16">
        <v>5000</v>
      </c>
      <c r="H72" s="16">
        <f>15500-5000</f>
        <v>10500</v>
      </c>
      <c r="I72" s="17">
        <v>20000</v>
      </c>
      <c r="J72" s="18">
        <v>2500</v>
      </c>
      <c r="L72" s="1"/>
      <c r="M72" s="1"/>
      <c r="N72" s="1"/>
      <c r="O72" s="1"/>
      <c r="P72" s="1"/>
      <c r="Q72" s="1"/>
    </row>
    <row r="73" spans="1:17" s="116" customFormat="1" x14ac:dyDescent="0.25">
      <c r="A73" s="58"/>
      <c r="B73" s="49">
        <f>1+B72</f>
        <v>57</v>
      </c>
      <c r="C73" s="50" t="s">
        <v>26</v>
      </c>
      <c r="D73" s="51"/>
      <c r="E73" s="51"/>
      <c r="F73" s="136">
        <f>1000-1000</f>
        <v>0</v>
      </c>
      <c r="G73" s="51">
        <f>1000+2000</f>
        <v>3000</v>
      </c>
      <c r="H73" s="51"/>
      <c r="I73" s="52"/>
      <c r="J73" s="53"/>
      <c r="L73" s="58"/>
      <c r="M73" s="58"/>
      <c r="N73" s="58"/>
      <c r="O73" s="58"/>
      <c r="P73" s="58"/>
      <c r="Q73" s="58"/>
    </row>
    <row r="74" spans="1:17" s="1" customFormat="1" x14ac:dyDescent="0.25">
      <c r="B74" s="14">
        <f t="shared" ref="B74:B80" si="3">1+B73</f>
        <v>58</v>
      </c>
      <c r="C74" s="15" t="s">
        <v>27</v>
      </c>
      <c r="D74" s="16">
        <v>40000</v>
      </c>
      <c r="E74" s="16"/>
      <c r="F74" s="136"/>
      <c r="G74" s="16">
        <v>2000</v>
      </c>
      <c r="H74" s="16">
        <v>25000</v>
      </c>
      <c r="I74" s="17">
        <v>13000</v>
      </c>
      <c r="J74" s="18"/>
      <c r="L74" s="58"/>
      <c r="M74" s="58"/>
      <c r="N74" s="58"/>
      <c r="O74" s="58"/>
      <c r="P74" s="58"/>
      <c r="Q74" s="58"/>
    </row>
    <row r="75" spans="1:17" s="58" customFormat="1" x14ac:dyDescent="0.25">
      <c r="A75" s="58">
        <v>3866002</v>
      </c>
      <c r="B75" s="49">
        <f t="shared" si="3"/>
        <v>59</v>
      </c>
      <c r="C75" s="50" t="s">
        <v>186</v>
      </c>
      <c r="D75" s="51">
        <f>22000-1364+10000+2900</f>
        <v>33536</v>
      </c>
      <c r="E75" s="51">
        <v>206</v>
      </c>
      <c r="F75" s="136">
        <v>21500</v>
      </c>
      <c r="G75" s="51">
        <f>8900+2900</f>
        <v>11800</v>
      </c>
      <c r="H75" s="51"/>
      <c r="I75" s="52"/>
      <c r="J75" s="53"/>
      <c r="L75" s="19"/>
      <c r="M75" s="19"/>
      <c r="N75" s="19"/>
      <c r="O75" s="19"/>
      <c r="P75" s="19"/>
      <c r="Q75" s="19"/>
    </row>
    <row r="76" spans="1:17" s="1" customFormat="1" x14ac:dyDescent="0.25">
      <c r="A76" s="1">
        <v>1351</v>
      </c>
      <c r="B76" s="14">
        <f t="shared" si="3"/>
        <v>60</v>
      </c>
      <c r="C76" s="15" t="s">
        <v>28</v>
      </c>
      <c r="D76" s="16">
        <v>10000</v>
      </c>
      <c r="E76" s="16">
        <v>4203</v>
      </c>
      <c r="F76" s="136">
        <f>5700-5000</f>
        <v>700</v>
      </c>
      <c r="G76" s="16">
        <v>5000</v>
      </c>
      <c r="H76" s="16"/>
      <c r="I76" s="17"/>
      <c r="J76" s="18"/>
      <c r="L76" s="116"/>
      <c r="M76" s="116"/>
      <c r="N76" s="116"/>
      <c r="O76" s="116"/>
      <c r="P76" s="116"/>
      <c r="Q76" s="116"/>
    </row>
    <row r="77" spans="1:17" s="58" customFormat="1" x14ac:dyDescent="0.25">
      <c r="B77" s="49">
        <f>1+B76</f>
        <v>61</v>
      </c>
      <c r="C77" s="50" t="s">
        <v>29</v>
      </c>
      <c r="D77" s="51"/>
      <c r="E77" s="51"/>
      <c r="F77" s="136"/>
      <c r="G77" s="11">
        <f>2400+1600</f>
        <v>4000</v>
      </c>
      <c r="H77" s="51"/>
      <c r="I77" s="52"/>
      <c r="J77" s="53"/>
      <c r="L77" s="116"/>
      <c r="M77" s="116"/>
      <c r="N77" s="116"/>
      <c r="O77" s="116"/>
      <c r="P77" s="116"/>
      <c r="Q77" s="116"/>
    </row>
    <row r="78" spans="1:17" s="1" customFormat="1" x14ac:dyDescent="0.25">
      <c r="A78" s="1">
        <v>3844059</v>
      </c>
      <c r="B78" s="14">
        <f>1+B77</f>
        <v>62</v>
      </c>
      <c r="C78" s="15" t="s">
        <v>187</v>
      </c>
      <c r="D78" s="16">
        <v>6600</v>
      </c>
      <c r="E78" s="16"/>
      <c r="F78" s="136">
        <v>600</v>
      </c>
      <c r="G78" s="16">
        <v>2000</v>
      </c>
      <c r="H78" s="16"/>
      <c r="I78" s="17">
        <v>4000</v>
      </c>
      <c r="J78" s="18"/>
      <c r="L78" s="19"/>
      <c r="M78" s="19"/>
      <c r="N78" s="19"/>
      <c r="O78" s="19"/>
      <c r="P78" s="19"/>
      <c r="Q78" s="19"/>
    </row>
    <row r="79" spans="1:17" s="58" customFormat="1" x14ac:dyDescent="0.25">
      <c r="A79" s="58">
        <v>391444819</v>
      </c>
      <c r="B79" s="49">
        <f t="shared" si="3"/>
        <v>63</v>
      </c>
      <c r="C79" s="50" t="s">
        <v>30</v>
      </c>
      <c r="D79" s="51">
        <f>120000+5000</f>
        <v>125000</v>
      </c>
      <c r="E79" s="51">
        <v>23174</v>
      </c>
      <c r="F79" s="136">
        <v>65000</v>
      </c>
      <c r="G79" s="51">
        <f>22900+8900+5000</f>
        <v>36800</v>
      </c>
      <c r="H79" s="51"/>
      <c r="I79" s="52"/>
      <c r="J79" s="53"/>
      <c r="L79" s="116"/>
      <c r="M79" s="116"/>
      <c r="N79" s="116"/>
      <c r="O79" s="116"/>
      <c r="P79" s="116"/>
      <c r="Q79" s="116"/>
    </row>
    <row r="80" spans="1:17" s="1" customFormat="1" ht="30" x14ac:dyDescent="0.25">
      <c r="A80" s="1">
        <v>3844003</v>
      </c>
      <c r="B80" s="14">
        <f t="shared" si="3"/>
        <v>64</v>
      </c>
      <c r="C80" s="15" t="s">
        <v>31</v>
      </c>
      <c r="D80" s="16">
        <f>87000+108000+40000</f>
        <v>235000</v>
      </c>
      <c r="E80" s="16">
        <v>2295</v>
      </c>
      <c r="F80" s="136">
        <f>55000-5000-41000</f>
        <v>9000</v>
      </c>
      <c r="G80" s="16">
        <f>41000+56000+5000-20000+21000</f>
        <v>103000</v>
      </c>
      <c r="H80" s="16">
        <f>41000+20000+20000+20000</f>
        <v>101000</v>
      </c>
      <c r="I80" s="17">
        <v>20000</v>
      </c>
      <c r="J80" s="18"/>
    </row>
    <row r="81" spans="1:17" s="171" customFormat="1" x14ac:dyDescent="0.25">
      <c r="A81" s="164"/>
      <c r="B81" s="165"/>
      <c r="C81" s="166" t="s">
        <v>32</v>
      </c>
      <c r="D81" s="167">
        <f>SUM(D65:D80)</f>
        <v>794836</v>
      </c>
      <c r="E81" s="167"/>
      <c r="F81" s="168">
        <f>SUM(F65:F80)</f>
        <v>107300</v>
      </c>
      <c r="G81" s="167">
        <f>SUM(G65:G80)</f>
        <v>208100</v>
      </c>
      <c r="H81" s="167">
        <f>SUM(H65:H80)</f>
        <v>199000</v>
      </c>
      <c r="I81" s="169">
        <f>SUM(I65:I80)</f>
        <v>82500</v>
      </c>
      <c r="J81" s="170">
        <f>SUM(J65:J80)</f>
        <v>49500</v>
      </c>
      <c r="L81" s="58"/>
      <c r="M81" s="58"/>
      <c r="N81" s="58"/>
      <c r="O81" s="58"/>
      <c r="P81" s="58"/>
      <c r="Q81" s="58"/>
    </row>
    <row r="82" spans="1:17" s="104" customFormat="1" x14ac:dyDescent="0.25">
      <c r="A82" s="58">
        <v>3888005</v>
      </c>
      <c r="B82" s="105">
        <f>1+B80</f>
        <v>65</v>
      </c>
      <c r="C82" s="102" t="s">
        <v>33</v>
      </c>
      <c r="D82" s="103"/>
      <c r="E82" s="103"/>
      <c r="F82" s="136">
        <f>26000-12000</f>
        <v>14000</v>
      </c>
      <c r="G82" s="51">
        <v>8000</v>
      </c>
      <c r="H82" s="51">
        <v>3500</v>
      </c>
      <c r="I82" s="134">
        <v>3500</v>
      </c>
      <c r="J82" s="98"/>
      <c r="L82" s="1"/>
      <c r="M82" s="1"/>
      <c r="N82" s="1"/>
      <c r="O82" s="1"/>
      <c r="P82" s="1"/>
      <c r="Q82" s="1"/>
    </row>
    <row r="83" spans="1:17" s="104" customFormat="1" ht="30" x14ac:dyDescent="0.25">
      <c r="A83" s="58"/>
      <c r="B83" s="44">
        <f>1+B82</f>
        <v>66</v>
      </c>
      <c r="C83" s="123" t="s">
        <v>157</v>
      </c>
      <c r="D83" s="124">
        <v>25000</v>
      </c>
      <c r="E83" s="124"/>
      <c r="F83" s="136"/>
      <c r="G83" s="16">
        <v>25000</v>
      </c>
      <c r="H83" s="16"/>
      <c r="I83" s="16"/>
      <c r="J83" s="22"/>
      <c r="L83" s="58"/>
      <c r="M83" s="58"/>
      <c r="N83" s="58"/>
      <c r="O83" s="58"/>
      <c r="P83" s="58"/>
      <c r="Q83" s="58"/>
    </row>
    <row r="84" spans="1:17" s="160" customFormat="1" ht="30" customHeight="1" x14ac:dyDescent="0.25">
      <c r="A84" s="156"/>
      <c r="B84" s="47"/>
      <c r="C84" s="40" t="s">
        <v>34</v>
      </c>
      <c r="D84" s="161">
        <f>+D81+D63+D43+D35+D17</f>
        <v>3870436</v>
      </c>
      <c r="E84" s="161"/>
      <c r="F84" s="162">
        <f>F17+F35+F43+F63+F81+F82</f>
        <v>513100</v>
      </c>
      <c r="G84" s="161">
        <f>G17+G35+G43+G63+G81+G82+G83</f>
        <v>863980</v>
      </c>
      <c r="H84" s="161">
        <f>H17+H35+H43+H63+H81+H82</f>
        <v>654050</v>
      </c>
      <c r="I84" s="161">
        <f>I17+I35+I43+I63+I81+I82</f>
        <v>659400</v>
      </c>
      <c r="J84" s="159">
        <f>J17+J35+J43+J63+J81+J82</f>
        <v>519700</v>
      </c>
      <c r="L84" s="1"/>
      <c r="M84" s="1"/>
      <c r="N84" s="1"/>
      <c r="O84" s="1"/>
      <c r="P84" s="1"/>
      <c r="Q84" s="1"/>
    </row>
    <row r="85" spans="1:17" x14ac:dyDescent="0.25">
      <c r="B85" s="32"/>
      <c r="C85" s="33" t="s">
        <v>35</v>
      </c>
      <c r="F85" s="136"/>
      <c r="G85" s="11"/>
      <c r="H85" s="11"/>
      <c r="I85" s="12"/>
      <c r="J85" s="13"/>
      <c r="L85" s="58"/>
      <c r="M85" s="58"/>
      <c r="N85" s="58"/>
      <c r="O85" s="58"/>
      <c r="P85" s="58"/>
      <c r="Q85" s="58"/>
    </row>
    <row r="86" spans="1:17" x14ac:dyDescent="0.25">
      <c r="B86" s="30">
        <f>1+B83</f>
        <v>67</v>
      </c>
      <c r="C86" s="107" t="s">
        <v>137</v>
      </c>
      <c r="D86" s="31"/>
      <c r="E86" s="31"/>
      <c r="F86" s="136"/>
      <c r="G86" s="16">
        <v>5000</v>
      </c>
      <c r="H86" s="16">
        <v>5000</v>
      </c>
      <c r="I86" s="17">
        <v>5000</v>
      </c>
      <c r="J86" s="18">
        <v>5000</v>
      </c>
      <c r="L86" s="1"/>
      <c r="M86" s="1"/>
      <c r="N86" s="1"/>
      <c r="O86" s="1"/>
      <c r="P86" s="1"/>
      <c r="Q86" s="1"/>
    </row>
    <row r="87" spans="1:17" s="1" customFormat="1" x14ac:dyDescent="0.25">
      <c r="B87" s="9"/>
      <c r="C87" s="36" t="s">
        <v>36</v>
      </c>
      <c r="D87" s="11"/>
      <c r="E87" s="11"/>
      <c r="F87" s="136"/>
      <c r="G87" s="11"/>
      <c r="H87" s="11"/>
      <c r="I87" s="12"/>
      <c r="J87" s="13"/>
      <c r="L87" s="171"/>
      <c r="M87" s="171"/>
      <c r="N87" s="171"/>
      <c r="O87" s="171"/>
      <c r="P87" s="171"/>
      <c r="Q87" s="171"/>
    </row>
    <row r="88" spans="1:17" s="1" customFormat="1" x14ac:dyDescent="0.25">
      <c r="A88" s="1">
        <v>391433000</v>
      </c>
      <c r="B88" s="9">
        <f>1+B86</f>
        <v>68</v>
      </c>
      <c r="C88" s="10" t="s">
        <v>37</v>
      </c>
      <c r="D88" s="11">
        <v>8000</v>
      </c>
      <c r="E88" s="11">
        <v>4000</v>
      </c>
      <c r="F88" s="136">
        <f>4000-2000</f>
        <v>2000</v>
      </c>
      <c r="G88" s="11">
        <v>2000</v>
      </c>
      <c r="H88" s="11"/>
      <c r="I88" s="12"/>
      <c r="J88" s="13"/>
      <c r="L88" s="104"/>
      <c r="M88" s="104"/>
      <c r="N88" s="104"/>
      <c r="O88" s="104"/>
      <c r="P88" s="104"/>
      <c r="Q88" s="104"/>
    </row>
    <row r="89" spans="1:17" s="1" customFormat="1" x14ac:dyDescent="0.25">
      <c r="B89" s="185" t="s">
        <v>211</v>
      </c>
      <c r="C89" s="186" t="s">
        <v>37</v>
      </c>
      <c r="D89" s="187"/>
      <c r="E89" s="187"/>
      <c r="F89" s="187"/>
      <c r="G89" s="187"/>
      <c r="H89" s="187">
        <v>2000</v>
      </c>
      <c r="I89" s="188">
        <v>2000</v>
      </c>
      <c r="J89" s="189"/>
      <c r="L89" s="104"/>
      <c r="M89" s="104"/>
      <c r="N89" s="104"/>
      <c r="O89" s="104"/>
      <c r="P89" s="104"/>
      <c r="Q89" s="104"/>
    </row>
    <row r="90" spans="1:17" x14ac:dyDescent="0.25">
      <c r="B90" s="30"/>
      <c r="C90" s="60" t="s">
        <v>38</v>
      </c>
      <c r="D90" s="31"/>
      <c r="E90" s="16"/>
      <c r="F90" s="136"/>
      <c r="G90" s="16"/>
      <c r="H90" s="16"/>
      <c r="I90" s="16"/>
      <c r="J90" s="22"/>
      <c r="L90" s="160"/>
      <c r="M90" s="160"/>
      <c r="N90" s="160"/>
      <c r="O90" s="160"/>
      <c r="P90" s="160"/>
      <c r="Q90" s="160"/>
    </row>
    <row r="91" spans="1:17" x14ac:dyDescent="0.25">
      <c r="A91" s="1">
        <v>391482090</v>
      </c>
      <c r="B91" s="32">
        <f>1+B88</f>
        <v>69</v>
      </c>
      <c r="C91" s="10" t="s">
        <v>39</v>
      </c>
      <c r="D91" s="11">
        <v>150000</v>
      </c>
      <c r="E91" s="11">
        <v>121875</v>
      </c>
      <c r="F91" s="136">
        <f>17400+10700-1900</f>
        <v>26200</v>
      </c>
      <c r="G91" s="11">
        <v>1900</v>
      </c>
      <c r="H91" s="11"/>
      <c r="I91" s="12"/>
      <c r="J91" s="13"/>
    </row>
    <row r="92" spans="1:17" s="43" customFormat="1" x14ac:dyDescent="0.25">
      <c r="A92" s="1">
        <v>388806</v>
      </c>
      <c r="B92" s="106">
        <f>1+B91</f>
        <v>70</v>
      </c>
      <c r="C92" s="107" t="s">
        <v>40</v>
      </c>
      <c r="D92" s="107"/>
      <c r="E92" s="107"/>
      <c r="F92" s="141">
        <f>5000-1500</f>
        <v>3500</v>
      </c>
      <c r="G92" s="100">
        <v>1500</v>
      </c>
      <c r="H92" s="100"/>
      <c r="I92" s="100"/>
      <c r="J92" s="133"/>
      <c r="L92" s="2"/>
      <c r="M92" s="2"/>
      <c r="N92" s="2"/>
      <c r="O92" s="2"/>
      <c r="P92" s="2"/>
      <c r="Q92" s="2"/>
    </row>
    <row r="93" spans="1:17" s="160" customFormat="1" ht="36.75" customHeight="1" x14ac:dyDescent="0.25">
      <c r="A93" s="156"/>
      <c r="B93" s="47"/>
      <c r="C93" s="40" t="s">
        <v>41</v>
      </c>
      <c r="D93" s="161">
        <f>SUM(D87:D91)</f>
        <v>158000</v>
      </c>
      <c r="E93" s="161"/>
      <c r="F93" s="162">
        <f>SUM(F87:F92)</f>
        <v>31700</v>
      </c>
      <c r="G93" s="161">
        <f>SUM(G86:G92)</f>
        <v>10400</v>
      </c>
      <c r="H93" s="161">
        <f>SUM(H86:H92)</f>
        <v>7000</v>
      </c>
      <c r="I93" s="161">
        <f>SUM(I86:I92)</f>
        <v>7000</v>
      </c>
      <c r="J93" s="159">
        <f>SUM(J86:J92)</f>
        <v>5000</v>
      </c>
      <c r="L93" s="1"/>
      <c r="M93" s="1"/>
      <c r="N93" s="1"/>
      <c r="O93" s="1"/>
      <c r="P93" s="1"/>
      <c r="Q93" s="1"/>
    </row>
    <row r="94" spans="1:17" x14ac:dyDescent="0.25">
      <c r="B94" s="30"/>
      <c r="C94" s="7" t="s">
        <v>42</v>
      </c>
      <c r="D94" s="31"/>
      <c r="E94" s="31"/>
      <c r="F94" s="136"/>
      <c r="G94" s="16"/>
      <c r="H94" s="16"/>
      <c r="I94" s="17"/>
      <c r="J94" s="18"/>
      <c r="L94" s="1"/>
      <c r="M94" s="1"/>
      <c r="N94" s="1"/>
      <c r="O94" s="1"/>
      <c r="P94" s="1"/>
      <c r="Q94" s="1"/>
    </row>
    <row r="95" spans="1:17" x14ac:dyDescent="0.25">
      <c r="B95" s="32">
        <f>1+B92</f>
        <v>71</v>
      </c>
      <c r="C95" s="10" t="s">
        <v>43</v>
      </c>
      <c r="E95" s="11"/>
      <c r="F95" s="136">
        <v>1100</v>
      </c>
      <c r="G95" s="11">
        <v>600</v>
      </c>
      <c r="H95" s="11">
        <v>600</v>
      </c>
      <c r="I95" s="12">
        <v>600</v>
      </c>
      <c r="J95" s="13">
        <v>600</v>
      </c>
      <c r="L95" s="1"/>
      <c r="M95" s="1"/>
      <c r="N95" s="1"/>
      <c r="O95" s="1"/>
      <c r="P95" s="1"/>
      <c r="Q95" s="1"/>
    </row>
    <row r="96" spans="1:17" x14ac:dyDescent="0.25">
      <c r="B96" s="30">
        <f>B95+1</f>
        <v>72</v>
      </c>
      <c r="C96" s="15" t="s">
        <v>188</v>
      </c>
      <c r="D96" s="31"/>
      <c r="E96" s="16"/>
      <c r="F96" s="136">
        <v>2400</v>
      </c>
      <c r="G96" s="16">
        <v>2400</v>
      </c>
      <c r="H96" s="16">
        <v>2400</v>
      </c>
      <c r="I96" s="17">
        <v>2500</v>
      </c>
      <c r="J96" s="18">
        <v>2500</v>
      </c>
    </row>
    <row r="97" spans="1:17" x14ac:dyDescent="0.25">
      <c r="B97" s="32">
        <f>B96+1</f>
        <v>73</v>
      </c>
      <c r="C97" s="10" t="s">
        <v>44</v>
      </c>
      <c r="E97" s="11"/>
      <c r="F97" s="136">
        <v>22000</v>
      </c>
      <c r="G97" s="11">
        <f>22000+3000</f>
        <v>25000</v>
      </c>
      <c r="H97" s="11">
        <v>25000</v>
      </c>
      <c r="I97" s="12">
        <f>25000+5000</f>
        <v>30000</v>
      </c>
      <c r="J97" s="13">
        <f>25000+5000</f>
        <v>30000</v>
      </c>
    </row>
    <row r="98" spans="1:17" x14ac:dyDescent="0.25">
      <c r="B98" s="30">
        <f>B97+1</f>
        <v>74</v>
      </c>
      <c r="C98" s="15" t="s">
        <v>45</v>
      </c>
      <c r="D98" s="31"/>
      <c r="E98" s="16"/>
      <c r="F98" s="136">
        <v>5000</v>
      </c>
      <c r="G98" s="16">
        <v>5000</v>
      </c>
      <c r="H98" s="16">
        <v>5000</v>
      </c>
      <c r="I98" s="17">
        <v>5000</v>
      </c>
      <c r="J98" s="18">
        <v>5000</v>
      </c>
      <c r="L98" s="43"/>
      <c r="M98" s="43"/>
      <c r="N98" s="43"/>
      <c r="O98" s="43"/>
      <c r="P98" s="43"/>
      <c r="Q98" s="43"/>
    </row>
    <row r="99" spans="1:17" x14ac:dyDescent="0.25">
      <c r="B99" s="32">
        <f>B98+1</f>
        <v>75</v>
      </c>
      <c r="C99" s="10" t="s">
        <v>46</v>
      </c>
      <c r="D99" s="11"/>
      <c r="E99" s="11"/>
      <c r="F99" s="136">
        <v>2000</v>
      </c>
      <c r="G99" s="11">
        <v>2000</v>
      </c>
      <c r="H99" s="11">
        <v>2000</v>
      </c>
      <c r="I99" s="12">
        <v>2000</v>
      </c>
      <c r="J99" s="13">
        <v>2000</v>
      </c>
      <c r="L99" s="160"/>
      <c r="M99" s="160"/>
      <c r="N99" s="160"/>
      <c r="O99" s="160"/>
      <c r="P99" s="160"/>
      <c r="Q99" s="160"/>
    </row>
    <row r="100" spans="1:17" s="1" customFormat="1" x14ac:dyDescent="0.25">
      <c r="A100" s="1">
        <v>391444808</v>
      </c>
      <c r="B100" s="14">
        <f>1+B99</f>
        <v>76</v>
      </c>
      <c r="C100" s="15" t="s">
        <v>47</v>
      </c>
      <c r="D100" s="16">
        <f>14500+5500</f>
        <v>20000</v>
      </c>
      <c r="E100" s="16">
        <f>911/2</f>
        <v>455.5</v>
      </c>
      <c r="F100" s="136">
        <f>2000+1600</f>
        <v>3600</v>
      </c>
      <c r="G100" s="16">
        <f>8000-1600+4500</f>
        <v>10900</v>
      </c>
      <c r="H100" s="16">
        <f>4000+1000</f>
        <v>5000</v>
      </c>
      <c r="I100" s="17"/>
      <c r="J100" s="18"/>
      <c r="L100" s="2"/>
      <c r="M100" s="2"/>
      <c r="N100" s="2"/>
      <c r="O100" s="2"/>
      <c r="P100" s="2"/>
      <c r="Q100" s="2"/>
    </row>
    <row r="101" spans="1:17" s="61" customFormat="1" x14ac:dyDescent="0.25">
      <c r="A101" s="1"/>
      <c r="B101" s="9">
        <f>1+B100</f>
        <v>77</v>
      </c>
      <c r="C101" s="10" t="s">
        <v>48</v>
      </c>
      <c r="D101" s="11">
        <v>20000</v>
      </c>
      <c r="E101" s="11"/>
      <c r="F101" s="136">
        <v>5000</v>
      </c>
      <c r="G101" s="11">
        <f>5000+5000</f>
        <v>10000</v>
      </c>
      <c r="H101" s="11">
        <v>5000</v>
      </c>
      <c r="I101" s="12"/>
      <c r="J101" s="13"/>
      <c r="L101" s="2"/>
      <c r="M101" s="2"/>
      <c r="N101" s="2"/>
      <c r="O101" s="2"/>
      <c r="P101" s="2"/>
      <c r="Q101" s="2"/>
    </row>
    <row r="102" spans="1:17" x14ac:dyDescent="0.25">
      <c r="B102" s="30">
        <f>1+B101</f>
        <v>78</v>
      </c>
      <c r="C102" s="15" t="s">
        <v>49</v>
      </c>
      <c r="D102" s="16"/>
      <c r="E102" s="16"/>
      <c r="F102" s="136">
        <v>2000</v>
      </c>
      <c r="G102" s="16">
        <v>2000</v>
      </c>
      <c r="H102" s="16">
        <v>2000</v>
      </c>
      <c r="I102" s="17">
        <v>2000</v>
      </c>
      <c r="J102" s="18">
        <v>2000</v>
      </c>
    </row>
    <row r="103" spans="1:17" x14ac:dyDescent="0.25">
      <c r="B103" s="32"/>
      <c r="C103" s="42" t="s">
        <v>50</v>
      </c>
      <c r="F103" s="136"/>
      <c r="G103" s="11"/>
      <c r="H103" s="11"/>
      <c r="I103" s="12"/>
      <c r="J103" s="13"/>
    </row>
    <row r="104" spans="1:17" x14ac:dyDescent="0.25">
      <c r="B104" s="30">
        <f>1+B102</f>
        <v>79</v>
      </c>
      <c r="C104" s="62" t="s">
        <v>51</v>
      </c>
      <c r="D104" s="31"/>
      <c r="E104" s="31"/>
      <c r="F104" s="136"/>
      <c r="G104" s="16"/>
      <c r="H104" s="16"/>
      <c r="I104" s="17">
        <v>650</v>
      </c>
      <c r="J104" s="18"/>
    </row>
    <row r="105" spans="1:17" x14ac:dyDescent="0.25">
      <c r="B105" s="67">
        <f>1+B104</f>
        <v>80</v>
      </c>
      <c r="C105" s="50" t="s">
        <v>52</v>
      </c>
      <c r="D105" s="69"/>
      <c r="E105" s="51"/>
      <c r="F105" s="136">
        <v>600</v>
      </c>
      <c r="G105" s="51"/>
      <c r="H105" s="51"/>
      <c r="I105" s="52">
        <v>650</v>
      </c>
      <c r="J105" s="53"/>
    </row>
    <row r="106" spans="1:17" s="160" customFormat="1" ht="34.5" customHeight="1" x14ac:dyDescent="0.25">
      <c r="A106" s="156"/>
      <c r="B106" s="63"/>
      <c r="C106" s="64" t="s">
        <v>53</v>
      </c>
      <c r="D106" s="172">
        <f>SUM(D95:D105)</f>
        <v>40000</v>
      </c>
      <c r="E106" s="172"/>
      <c r="F106" s="162">
        <f>SUM(F95:F105)</f>
        <v>43700</v>
      </c>
      <c r="G106" s="161">
        <f>SUM(G95:G105)</f>
        <v>57900</v>
      </c>
      <c r="H106" s="161">
        <f>SUM(H95:H105)</f>
        <v>47000</v>
      </c>
      <c r="I106" s="161">
        <f>SUM(I95:I105)</f>
        <v>43400</v>
      </c>
      <c r="J106" s="159">
        <f>SUM(J94:J105)</f>
        <v>42100</v>
      </c>
      <c r="L106" s="1"/>
      <c r="M106" s="1"/>
      <c r="N106" s="1"/>
      <c r="O106" s="1"/>
      <c r="P106" s="1"/>
      <c r="Q106" s="1"/>
    </row>
    <row r="107" spans="1:17" x14ac:dyDescent="0.25">
      <c r="B107" s="67"/>
      <c r="C107" s="68" t="s">
        <v>54</v>
      </c>
      <c r="D107" s="69"/>
      <c r="E107" s="69"/>
      <c r="F107" s="136"/>
      <c r="G107" s="51"/>
      <c r="H107" s="51"/>
      <c r="I107" s="51"/>
      <c r="J107" s="98"/>
      <c r="L107" s="61"/>
      <c r="M107" s="61"/>
      <c r="N107" s="61"/>
      <c r="O107" s="61"/>
      <c r="P107" s="61"/>
      <c r="Q107" s="61"/>
    </row>
    <row r="108" spans="1:17" x14ac:dyDescent="0.25">
      <c r="B108" s="30">
        <f>1+B105</f>
        <v>81</v>
      </c>
      <c r="C108" s="15" t="s">
        <v>55</v>
      </c>
      <c r="D108" s="31"/>
      <c r="E108" s="16"/>
      <c r="F108" s="136">
        <v>11000</v>
      </c>
      <c r="G108" s="16">
        <v>11000</v>
      </c>
      <c r="H108" s="16">
        <v>7500</v>
      </c>
      <c r="I108" s="17">
        <v>10000</v>
      </c>
      <c r="J108" s="18">
        <v>10000</v>
      </c>
    </row>
    <row r="109" spans="1:17" x14ac:dyDescent="0.25">
      <c r="B109" s="32">
        <f>B108+1</f>
        <v>82</v>
      </c>
      <c r="C109" s="10" t="s">
        <v>56</v>
      </c>
      <c r="E109" s="11"/>
      <c r="F109" s="136">
        <v>33000</v>
      </c>
      <c r="G109" s="11">
        <f>33000+2000</f>
        <v>35000</v>
      </c>
      <c r="H109" s="11">
        <f>33000+2000</f>
        <v>35000</v>
      </c>
      <c r="I109" s="12">
        <f>33000+2000</f>
        <v>35000</v>
      </c>
      <c r="J109" s="13">
        <f>33000+2000</f>
        <v>35000</v>
      </c>
    </row>
    <row r="110" spans="1:17" s="1" customFormat="1" x14ac:dyDescent="0.25">
      <c r="A110" s="1">
        <v>391444808</v>
      </c>
      <c r="B110" s="9">
        <f>1+B109</f>
        <v>83</v>
      </c>
      <c r="C110" s="10" t="s">
        <v>47</v>
      </c>
      <c r="D110" s="11">
        <f>14500+5500</f>
        <v>20000</v>
      </c>
      <c r="E110" s="11">
        <v>455</v>
      </c>
      <c r="F110" s="136">
        <f>2000+1600</f>
        <v>3600</v>
      </c>
      <c r="G110" s="11">
        <f>8000-1600+4500</f>
        <v>10900</v>
      </c>
      <c r="H110" s="11">
        <f>4000+1000</f>
        <v>5000</v>
      </c>
      <c r="I110" s="12"/>
      <c r="J110" s="13"/>
      <c r="L110" s="2"/>
      <c r="M110" s="2"/>
      <c r="N110" s="2"/>
      <c r="O110" s="2"/>
      <c r="P110" s="2"/>
      <c r="Q110" s="2"/>
    </row>
    <row r="111" spans="1:17" s="1" customFormat="1" ht="30" x14ac:dyDescent="0.25">
      <c r="B111" s="14">
        <f>1+B110</f>
        <v>84</v>
      </c>
      <c r="C111" s="15" t="s">
        <v>57</v>
      </c>
      <c r="D111" s="16">
        <v>80000</v>
      </c>
      <c r="E111" s="16"/>
      <c r="F111" s="136">
        <v>5000</v>
      </c>
      <c r="G111" s="16">
        <v>10000</v>
      </c>
      <c r="H111" s="16">
        <v>20000</v>
      </c>
      <c r="I111" s="17">
        <v>20000</v>
      </c>
      <c r="J111" s="18">
        <f>25000-15000</f>
        <v>10000</v>
      </c>
      <c r="L111" s="2"/>
      <c r="M111" s="2"/>
      <c r="N111" s="2"/>
      <c r="O111" s="2"/>
      <c r="P111" s="2"/>
      <c r="Q111" s="2"/>
    </row>
    <row r="112" spans="1:17" s="1" customFormat="1" x14ac:dyDescent="0.25">
      <c r="B112" s="9">
        <f>1+B111</f>
        <v>85</v>
      </c>
      <c r="C112" s="10" t="s">
        <v>46</v>
      </c>
      <c r="D112" s="11"/>
      <c r="E112" s="11"/>
      <c r="F112" s="136">
        <v>5000</v>
      </c>
      <c r="G112" s="11">
        <v>5000</v>
      </c>
      <c r="H112" s="11">
        <v>5000</v>
      </c>
      <c r="I112" s="12">
        <v>5000</v>
      </c>
      <c r="J112" s="13">
        <v>5000</v>
      </c>
      <c r="L112" s="160"/>
      <c r="M112" s="160"/>
      <c r="N112" s="160"/>
      <c r="O112" s="160"/>
      <c r="P112" s="160"/>
      <c r="Q112" s="160"/>
    </row>
    <row r="113" spans="1:17" x14ac:dyDescent="0.25">
      <c r="B113" s="30">
        <f>B112+1</f>
        <v>86</v>
      </c>
      <c r="C113" s="15" t="s">
        <v>49</v>
      </c>
      <c r="D113" s="16"/>
      <c r="E113" s="16"/>
      <c r="F113" s="136">
        <v>2500</v>
      </c>
      <c r="G113" s="16">
        <v>2500</v>
      </c>
      <c r="H113" s="16">
        <v>2500</v>
      </c>
      <c r="I113" s="17">
        <v>2500</v>
      </c>
      <c r="J113" s="18">
        <v>2500</v>
      </c>
    </row>
    <row r="114" spans="1:17" x14ac:dyDescent="0.25">
      <c r="B114" s="32"/>
      <c r="C114" s="42" t="s">
        <v>58</v>
      </c>
      <c r="F114" s="136"/>
      <c r="G114" s="11"/>
      <c r="H114" s="11"/>
      <c r="I114" s="12"/>
      <c r="J114" s="13"/>
    </row>
    <row r="115" spans="1:17" x14ac:dyDescent="0.25">
      <c r="B115" s="30">
        <f>1+B113</f>
        <v>87</v>
      </c>
      <c r="C115" s="15" t="s">
        <v>59</v>
      </c>
      <c r="D115" s="31"/>
      <c r="E115" s="16"/>
      <c r="F115" s="136"/>
      <c r="G115" s="16"/>
      <c r="H115" s="16">
        <v>1500</v>
      </c>
      <c r="I115" s="17">
        <v>1300</v>
      </c>
      <c r="J115" s="18">
        <f>1300+2200</f>
        <v>3500</v>
      </c>
    </row>
    <row r="116" spans="1:17" s="160" customFormat="1" ht="40.5" customHeight="1" x14ac:dyDescent="0.25">
      <c r="A116" s="156"/>
      <c r="B116" s="63"/>
      <c r="C116" s="64" t="s">
        <v>60</v>
      </c>
      <c r="D116" s="172">
        <f>SUM(D108:D115)</f>
        <v>100000</v>
      </c>
      <c r="E116" s="172"/>
      <c r="F116" s="162">
        <f>SUM(F108:F115)</f>
        <v>60100</v>
      </c>
      <c r="G116" s="161">
        <f>SUM(G108:G115)</f>
        <v>74400</v>
      </c>
      <c r="H116" s="161">
        <f>SUM(H108:H115)</f>
        <v>76500</v>
      </c>
      <c r="I116" s="161">
        <f>SUM(I108:I115)</f>
        <v>73800</v>
      </c>
      <c r="J116" s="159">
        <f>SUM(J107:J115)</f>
        <v>66000</v>
      </c>
      <c r="L116" s="1"/>
      <c r="M116" s="1"/>
      <c r="N116" s="1"/>
      <c r="O116" s="1"/>
      <c r="P116" s="1"/>
      <c r="Q116" s="1"/>
    </row>
    <row r="117" spans="1:17" x14ac:dyDescent="0.25">
      <c r="B117" s="30"/>
      <c r="C117" s="7" t="s">
        <v>61</v>
      </c>
      <c r="D117" s="31"/>
      <c r="E117" s="31"/>
      <c r="F117" s="136"/>
      <c r="G117" s="16"/>
      <c r="H117" s="16"/>
      <c r="I117" s="16"/>
      <c r="J117" s="22"/>
      <c r="L117" s="1"/>
      <c r="M117" s="1"/>
      <c r="N117" s="1"/>
      <c r="O117" s="1"/>
      <c r="P117" s="1"/>
      <c r="Q117" s="1"/>
    </row>
    <row r="118" spans="1:17" x14ac:dyDescent="0.25">
      <c r="B118" s="32">
        <f>1+B115</f>
        <v>88</v>
      </c>
      <c r="C118" s="10" t="s">
        <v>62</v>
      </c>
      <c r="E118" s="11"/>
      <c r="F118" s="136">
        <v>2400</v>
      </c>
      <c r="G118" s="11">
        <f>2500-500</f>
        <v>2000</v>
      </c>
      <c r="H118" s="11">
        <f>2600-600</f>
        <v>2000</v>
      </c>
      <c r="I118" s="12">
        <f>2700-1200</f>
        <v>1500</v>
      </c>
      <c r="J118" s="13">
        <f>2800-1300</f>
        <v>1500</v>
      </c>
      <c r="L118" s="1"/>
      <c r="M118" s="1"/>
      <c r="N118" s="1"/>
      <c r="O118" s="1"/>
      <c r="P118" s="1"/>
      <c r="Q118" s="1"/>
    </row>
    <row r="119" spans="1:17" x14ac:dyDescent="0.25">
      <c r="B119" s="30">
        <f>B118+1</f>
        <v>89</v>
      </c>
      <c r="C119" s="15" t="s">
        <v>63</v>
      </c>
      <c r="D119" s="31"/>
      <c r="E119" s="16"/>
      <c r="F119" s="136">
        <v>2200</v>
      </c>
      <c r="G119" s="16">
        <f>2400-200</f>
        <v>2200</v>
      </c>
      <c r="H119" s="16">
        <f>2600-600</f>
        <v>2000</v>
      </c>
      <c r="I119" s="17">
        <f>2600-600</f>
        <v>2000</v>
      </c>
      <c r="J119" s="18">
        <f>2600-600</f>
        <v>2000</v>
      </c>
    </row>
    <row r="120" spans="1:17" x14ac:dyDescent="0.25">
      <c r="B120" s="26"/>
      <c r="C120" s="40" t="s">
        <v>64</v>
      </c>
      <c r="D120" s="66"/>
      <c r="E120" s="41"/>
      <c r="F120" s="136">
        <f>SUM(F118:F119)</f>
        <v>4600</v>
      </c>
      <c r="G120" s="41">
        <f>SUM(G118:G119)</f>
        <v>4200</v>
      </c>
      <c r="H120" s="41">
        <f>SUM(H118:H119)</f>
        <v>4000</v>
      </c>
      <c r="I120" s="41">
        <f>SUM(I118:I119)</f>
        <v>3500</v>
      </c>
      <c r="J120" s="29">
        <f>SUM(J118:J119)</f>
        <v>3500</v>
      </c>
    </row>
    <row r="121" spans="1:17" s="160" customFormat="1" ht="33.75" customHeight="1" x14ac:dyDescent="0.25">
      <c r="A121" s="156"/>
      <c r="B121" s="26"/>
      <c r="C121" s="40" t="s">
        <v>65</v>
      </c>
      <c r="D121" s="173">
        <f>+D120+D116+D106</f>
        <v>140000</v>
      </c>
      <c r="E121" s="173"/>
      <c r="F121" s="162">
        <f>+F120+F116+F106</f>
        <v>108400</v>
      </c>
      <c r="G121" s="161">
        <f>+G120+G116+G106</f>
        <v>136500</v>
      </c>
      <c r="H121" s="161">
        <f>+H120+H116+H106</f>
        <v>127500</v>
      </c>
      <c r="I121" s="161">
        <f>+I120+I116+I106</f>
        <v>120700</v>
      </c>
      <c r="J121" s="159">
        <f>+J120+J116+J106</f>
        <v>111600</v>
      </c>
      <c r="L121" s="2"/>
      <c r="M121" s="2"/>
      <c r="N121" s="2"/>
      <c r="O121" s="2"/>
      <c r="P121" s="2"/>
      <c r="Q121" s="2"/>
    </row>
    <row r="122" spans="1:17" x14ac:dyDescent="0.25">
      <c r="B122" s="30"/>
      <c r="C122" s="7" t="s">
        <v>66</v>
      </c>
      <c r="D122" s="31"/>
      <c r="E122" s="31"/>
      <c r="F122" s="136"/>
      <c r="G122" s="16"/>
      <c r="H122" s="16"/>
      <c r="I122" s="16"/>
      <c r="J122" s="22"/>
      <c r="L122" s="160"/>
      <c r="M122" s="160"/>
      <c r="N122" s="160"/>
      <c r="O122" s="160"/>
      <c r="P122" s="160"/>
      <c r="Q122" s="160"/>
    </row>
    <row r="123" spans="1:17" x14ac:dyDescent="0.25">
      <c r="B123" s="67"/>
      <c r="C123" s="68" t="s">
        <v>67</v>
      </c>
      <c r="D123" s="69"/>
      <c r="E123" s="69"/>
      <c r="F123" s="136"/>
      <c r="G123" s="51"/>
      <c r="H123" s="51"/>
      <c r="I123" s="12"/>
      <c r="J123" s="13"/>
    </row>
    <row r="124" spans="1:17" x14ac:dyDescent="0.25">
      <c r="B124" s="30">
        <f>1+B119</f>
        <v>90</v>
      </c>
      <c r="C124" s="15" t="s">
        <v>68</v>
      </c>
      <c r="D124" s="16"/>
      <c r="E124" s="16"/>
      <c r="F124" s="136">
        <v>5000</v>
      </c>
      <c r="G124" s="16">
        <v>5000</v>
      </c>
      <c r="H124" s="16">
        <v>5000</v>
      </c>
      <c r="I124" s="17">
        <v>5000</v>
      </c>
      <c r="J124" s="18">
        <v>5000</v>
      </c>
    </row>
    <row r="125" spans="1:17" x14ac:dyDescent="0.25">
      <c r="A125" s="1">
        <v>391366019</v>
      </c>
      <c r="B125" s="67">
        <f>B124+1</f>
        <v>91</v>
      </c>
      <c r="C125" s="50" t="s">
        <v>189</v>
      </c>
      <c r="D125" s="51">
        <v>25000</v>
      </c>
      <c r="E125" s="51">
        <v>611</v>
      </c>
      <c r="F125" s="136">
        <f>24000-24000</f>
        <v>0</v>
      </c>
      <c r="G125" s="51">
        <v>24000</v>
      </c>
      <c r="H125" s="51"/>
      <c r="I125" s="12"/>
      <c r="J125" s="13"/>
    </row>
    <row r="126" spans="1:17" x14ac:dyDescent="0.25">
      <c r="B126" s="191" t="s">
        <v>211</v>
      </c>
      <c r="C126" s="186" t="s">
        <v>202</v>
      </c>
      <c r="D126" s="187"/>
      <c r="E126" s="187"/>
      <c r="F126" s="187"/>
      <c r="G126" s="190">
        <v>-5000</v>
      </c>
      <c r="H126" s="187"/>
      <c r="I126" s="188"/>
      <c r="J126" s="189"/>
    </row>
    <row r="127" spans="1:17" x14ac:dyDescent="0.25">
      <c r="B127" s="30">
        <f>B125+1</f>
        <v>92</v>
      </c>
      <c r="C127" s="15" t="s">
        <v>69</v>
      </c>
      <c r="D127" s="16"/>
      <c r="E127" s="16"/>
      <c r="F127" s="136">
        <v>1500</v>
      </c>
      <c r="G127" s="16">
        <v>1500</v>
      </c>
      <c r="H127" s="16">
        <v>1500</v>
      </c>
      <c r="I127" s="17">
        <v>1500</v>
      </c>
      <c r="J127" s="18">
        <v>1500</v>
      </c>
      <c r="L127" s="160"/>
      <c r="M127" s="160"/>
      <c r="N127" s="160"/>
      <c r="O127" s="160"/>
      <c r="P127" s="160"/>
      <c r="Q127" s="160"/>
    </row>
    <row r="128" spans="1:17" x14ac:dyDescent="0.25">
      <c r="B128" s="32">
        <f>1+B127</f>
        <v>93</v>
      </c>
      <c r="C128" s="10" t="s">
        <v>70</v>
      </c>
      <c r="D128" s="11"/>
      <c r="E128" s="11"/>
      <c r="F128" s="136">
        <v>2100</v>
      </c>
      <c r="G128" s="11">
        <v>2100</v>
      </c>
      <c r="H128" s="11">
        <v>2100</v>
      </c>
      <c r="I128" s="12">
        <v>2100</v>
      </c>
      <c r="J128" s="13">
        <v>2100</v>
      </c>
    </row>
    <row r="129" spans="1:17" x14ac:dyDescent="0.25">
      <c r="B129" s="30">
        <f>B128+1</f>
        <v>94</v>
      </c>
      <c r="C129" s="15" t="s">
        <v>71</v>
      </c>
      <c r="D129" s="16"/>
      <c r="E129" s="16"/>
      <c r="F129" s="136">
        <v>10000</v>
      </c>
      <c r="G129" s="16">
        <v>10000</v>
      </c>
      <c r="H129" s="16">
        <v>10000</v>
      </c>
      <c r="I129" s="17">
        <v>10000</v>
      </c>
      <c r="J129" s="18">
        <v>10000</v>
      </c>
    </row>
    <row r="130" spans="1:17" ht="30" x14ac:dyDescent="0.25">
      <c r="B130" s="32">
        <f>1+B129</f>
        <v>95</v>
      </c>
      <c r="C130" s="10" t="s">
        <v>190</v>
      </c>
      <c r="D130" s="11">
        <v>40000</v>
      </c>
      <c r="E130" s="11"/>
      <c r="F130" s="136">
        <v>10000</v>
      </c>
      <c r="G130" s="11">
        <v>10000</v>
      </c>
      <c r="H130" s="11">
        <v>10000</v>
      </c>
      <c r="I130" s="12">
        <v>10000</v>
      </c>
      <c r="J130" s="13"/>
    </row>
    <row r="131" spans="1:17" x14ac:dyDescent="0.25">
      <c r="B131" s="30"/>
      <c r="C131" s="46" t="s">
        <v>72</v>
      </c>
      <c r="D131" s="16"/>
      <c r="E131" s="16"/>
      <c r="F131" s="136"/>
      <c r="G131" s="16"/>
      <c r="H131" s="16"/>
      <c r="I131" s="17"/>
      <c r="J131" s="18"/>
    </row>
    <row r="132" spans="1:17" x14ac:dyDescent="0.25">
      <c r="B132" s="32">
        <f>1+B130</f>
        <v>96</v>
      </c>
      <c r="C132" s="10" t="s">
        <v>73</v>
      </c>
      <c r="D132" s="11"/>
      <c r="E132" s="11"/>
      <c r="F132" s="136">
        <v>2500</v>
      </c>
      <c r="G132" s="11">
        <f>7000+2500</f>
        <v>9500</v>
      </c>
      <c r="H132" s="11">
        <f>2500-250</f>
        <v>2250</v>
      </c>
      <c r="I132" s="12">
        <f>2500-250</f>
        <v>2250</v>
      </c>
      <c r="J132" s="13">
        <f>2500-250</f>
        <v>2250</v>
      </c>
    </row>
    <row r="133" spans="1:17" x14ac:dyDescent="0.25">
      <c r="A133" s="1">
        <v>391366018</v>
      </c>
      <c r="B133" s="30">
        <f>B132+1</f>
        <v>97</v>
      </c>
      <c r="C133" s="15" t="s">
        <v>191</v>
      </c>
      <c r="D133" s="16">
        <v>50000</v>
      </c>
      <c r="E133" s="16">
        <f>18937+2000-2100</f>
        <v>18837</v>
      </c>
      <c r="F133" s="136">
        <f>22200-5000</f>
        <v>17200</v>
      </c>
      <c r="G133" s="16">
        <f>7000-2000+5000</f>
        <v>10000</v>
      </c>
      <c r="H133" s="16"/>
      <c r="I133" s="17"/>
      <c r="J133" s="18"/>
    </row>
    <row r="134" spans="1:17" x14ac:dyDescent="0.25">
      <c r="B134" s="191" t="s">
        <v>211</v>
      </c>
      <c r="C134" s="186" t="s">
        <v>203</v>
      </c>
      <c r="D134" s="187"/>
      <c r="E134" s="187"/>
      <c r="F134" s="187"/>
      <c r="G134" s="187"/>
      <c r="H134" s="187">
        <v>20000</v>
      </c>
      <c r="I134" s="188">
        <v>20000</v>
      </c>
      <c r="J134" s="189">
        <v>20000</v>
      </c>
    </row>
    <row r="135" spans="1:17" x14ac:dyDescent="0.25">
      <c r="A135" s="1">
        <v>391366020</v>
      </c>
      <c r="B135" s="32">
        <f>B133+1</f>
        <v>98</v>
      </c>
      <c r="C135" s="10" t="s">
        <v>192</v>
      </c>
      <c r="D135" s="11">
        <v>5000</v>
      </c>
      <c r="E135" s="11"/>
      <c r="F135" s="136">
        <f>5000-5000</f>
        <v>0</v>
      </c>
      <c r="G135" s="11">
        <v>5000</v>
      </c>
      <c r="H135" s="11"/>
      <c r="I135" s="12"/>
      <c r="J135" s="13"/>
    </row>
    <row r="136" spans="1:17" x14ac:dyDescent="0.25">
      <c r="B136" s="30">
        <f>B135+1</f>
        <v>99</v>
      </c>
      <c r="C136" s="15" t="s">
        <v>74</v>
      </c>
      <c r="D136" s="16"/>
      <c r="E136" s="16"/>
      <c r="F136" s="136">
        <f>15300-7000</f>
        <v>8300</v>
      </c>
      <c r="G136" s="16">
        <f>15300</f>
        <v>15300</v>
      </c>
      <c r="H136" s="16">
        <v>15300</v>
      </c>
      <c r="I136" s="16">
        <v>15300</v>
      </c>
      <c r="J136" s="22">
        <v>15300</v>
      </c>
    </row>
    <row r="137" spans="1:17" x14ac:dyDescent="0.25">
      <c r="B137" s="32">
        <f>B136+1</f>
        <v>100</v>
      </c>
      <c r="C137" s="10" t="s">
        <v>75</v>
      </c>
      <c r="D137" s="11"/>
      <c r="E137" s="11"/>
      <c r="F137" s="136">
        <v>3500</v>
      </c>
      <c r="G137" s="11">
        <v>3500</v>
      </c>
      <c r="H137" s="11">
        <v>3500</v>
      </c>
      <c r="I137" s="12">
        <v>3500</v>
      </c>
      <c r="J137" s="13">
        <v>3500</v>
      </c>
    </row>
    <row r="138" spans="1:17" x14ac:dyDescent="0.25">
      <c r="B138" s="30"/>
      <c r="C138" s="46" t="s">
        <v>76</v>
      </c>
      <c r="D138" s="16"/>
      <c r="E138" s="16"/>
      <c r="F138" s="136"/>
      <c r="G138" s="16"/>
      <c r="H138" s="16"/>
      <c r="I138" s="17"/>
      <c r="J138" s="18"/>
    </row>
    <row r="139" spans="1:17" x14ac:dyDescent="0.25">
      <c r="B139" s="32">
        <f>B137+1</f>
        <v>101</v>
      </c>
      <c r="C139" s="10" t="s">
        <v>76</v>
      </c>
      <c r="D139" s="11"/>
      <c r="E139" s="11"/>
      <c r="F139" s="136">
        <v>6000</v>
      </c>
      <c r="G139" s="11">
        <v>6000</v>
      </c>
      <c r="H139" s="11">
        <v>6000</v>
      </c>
      <c r="I139" s="12">
        <v>6000</v>
      </c>
      <c r="J139" s="13">
        <v>6000</v>
      </c>
    </row>
    <row r="140" spans="1:17" x14ac:dyDescent="0.25">
      <c r="B140" s="44"/>
      <c r="C140" s="46" t="s">
        <v>77</v>
      </c>
      <c r="D140" s="16"/>
      <c r="E140" s="16"/>
      <c r="F140" s="136"/>
      <c r="G140" s="16"/>
      <c r="H140" s="16"/>
      <c r="I140" s="17"/>
      <c r="J140" s="18"/>
    </row>
    <row r="141" spans="1:17" s="1" customFormat="1" x14ac:dyDescent="0.25">
      <c r="A141" s="1">
        <v>3866011</v>
      </c>
      <c r="B141" s="9">
        <f>1+B139</f>
        <v>102</v>
      </c>
      <c r="C141" s="114" t="s">
        <v>78</v>
      </c>
      <c r="D141" s="11">
        <v>11000</v>
      </c>
      <c r="E141" s="11"/>
      <c r="F141" s="136">
        <f>11000-8000</f>
        <v>3000</v>
      </c>
      <c r="G141" s="11">
        <v>8000</v>
      </c>
      <c r="H141" s="11"/>
      <c r="I141" s="12"/>
      <c r="J141" s="13"/>
      <c r="L141" s="2"/>
      <c r="M141" s="2"/>
      <c r="N141" s="2"/>
      <c r="O141" s="2"/>
      <c r="P141" s="2"/>
      <c r="Q141" s="2"/>
    </row>
    <row r="142" spans="1:17" x14ac:dyDescent="0.25">
      <c r="B142" s="44">
        <f>1+B141</f>
        <v>103</v>
      </c>
      <c r="C142" s="15" t="s">
        <v>79</v>
      </c>
      <c r="D142" s="16"/>
      <c r="E142" s="16"/>
      <c r="F142" s="136">
        <v>6100</v>
      </c>
      <c r="G142" s="16">
        <v>6100</v>
      </c>
      <c r="H142" s="16">
        <v>6100</v>
      </c>
      <c r="I142" s="17">
        <v>6100</v>
      </c>
      <c r="J142" s="18">
        <v>6100</v>
      </c>
    </row>
    <row r="143" spans="1:17" s="1" customFormat="1" x14ac:dyDescent="0.25">
      <c r="B143" s="9">
        <f>1+B142</f>
        <v>104</v>
      </c>
      <c r="C143" s="10" t="s">
        <v>80</v>
      </c>
      <c r="D143" s="11">
        <v>15000</v>
      </c>
      <c r="E143" s="11"/>
      <c r="F143" s="136">
        <f>15000-12000</f>
        <v>3000</v>
      </c>
      <c r="G143" s="11">
        <v>12000</v>
      </c>
      <c r="H143" s="11"/>
      <c r="I143" s="12"/>
      <c r="J143" s="13"/>
      <c r="L143" s="2"/>
      <c r="M143" s="2"/>
      <c r="N143" s="2"/>
      <c r="O143" s="2"/>
      <c r="P143" s="2"/>
      <c r="Q143" s="2"/>
    </row>
    <row r="144" spans="1:17" s="1" customFormat="1" x14ac:dyDescent="0.25">
      <c r="B144" s="14">
        <f>1+B143</f>
        <v>105</v>
      </c>
      <c r="C144" s="15" t="s">
        <v>81</v>
      </c>
      <c r="D144" s="16"/>
      <c r="E144" s="16"/>
      <c r="F144" s="136">
        <v>1000</v>
      </c>
      <c r="G144" s="16">
        <v>1000</v>
      </c>
      <c r="H144" s="16">
        <v>1000</v>
      </c>
      <c r="I144" s="17">
        <v>1000</v>
      </c>
      <c r="J144" s="18">
        <v>1000</v>
      </c>
      <c r="L144" s="2"/>
      <c r="M144" s="2"/>
      <c r="N144" s="2"/>
      <c r="O144" s="2"/>
      <c r="P144" s="2"/>
      <c r="Q144" s="2"/>
    </row>
    <row r="145" spans="1:17" s="1" customFormat="1" x14ac:dyDescent="0.25">
      <c r="B145" s="9">
        <f>1+B144</f>
        <v>106</v>
      </c>
      <c r="C145" s="10" t="s">
        <v>82</v>
      </c>
      <c r="D145" s="11"/>
      <c r="E145" s="11"/>
      <c r="F145" s="136">
        <v>10000</v>
      </c>
      <c r="G145" s="11">
        <v>10000</v>
      </c>
      <c r="H145" s="11">
        <v>10000</v>
      </c>
      <c r="I145" s="12">
        <v>10000</v>
      </c>
      <c r="J145" s="13">
        <v>10000</v>
      </c>
      <c r="L145" s="2"/>
      <c r="M145" s="2"/>
      <c r="N145" s="2"/>
      <c r="O145" s="2"/>
      <c r="P145" s="2"/>
      <c r="Q145" s="2"/>
    </row>
    <row r="146" spans="1:17" s="1" customFormat="1" x14ac:dyDescent="0.25">
      <c r="B146" s="14">
        <f>1+B145</f>
        <v>107</v>
      </c>
      <c r="C146" s="15" t="s">
        <v>83</v>
      </c>
      <c r="D146" s="16"/>
      <c r="E146" s="16"/>
      <c r="F146" s="136">
        <v>4000</v>
      </c>
      <c r="G146" s="16">
        <f>2000-1500</f>
        <v>500</v>
      </c>
      <c r="H146" s="16"/>
      <c r="I146" s="17"/>
      <c r="J146" s="18"/>
      <c r="L146" s="2"/>
      <c r="M146" s="2"/>
      <c r="N146" s="2"/>
      <c r="O146" s="2"/>
      <c r="P146" s="2"/>
      <c r="Q146" s="2"/>
    </row>
    <row r="147" spans="1:17" s="1" customFormat="1" x14ac:dyDescent="0.25">
      <c r="B147" s="185" t="s">
        <v>211</v>
      </c>
      <c r="C147" s="186" t="s">
        <v>83</v>
      </c>
      <c r="D147" s="187"/>
      <c r="E147" s="187"/>
      <c r="F147" s="187"/>
      <c r="G147" s="187">
        <v>1500</v>
      </c>
      <c r="H147" s="187">
        <v>2000</v>
      </c>
      <c r="I147" s="188">
        <v>2000</v>
      </c>
      <c r="J147" s="189"/>
    </row>
    <row r="148" spans="1:17" s="1" customFormat="1" x14ac:dyDescent="0.25">
      <c r="B148" s="185" t="s">
        <v>211</v>
      </c>
      <c r="C148" s="186" t="s">
        <v>204</v>
      </c>
      <c r="D148" s="187"/>
      <c r="E148" s="187"/>
      <c r="F148" s="187"/>
      <c r="G148" s="187">
        <v>400</v>
      </c>
      <c r="H148" s="187"/>
      <c r="I148" s="188"/>
      <c r="J148" s="189"/>
      <c r="L148" s="2"/>
      <c r="M148" s="2"/>
      <c r="N148" s="2"/>
      <c r="O148" s="2"/>
      <c r="P148" s="2"/>
      <c r="Q148" s="2"/>
    </row>
    <row r="149" spans="1:17" x14ac:dyDescent="0.25">
      <c r="B149" s="45">
        <f>1+B146</f>
        <v>108</v>
      </c>
      <c r="C149" s="10" t="s">
        <v>84</v>
      </c>
      <c r="D149" s="11"/>
      <c r="E149" s="11"/>
      <c r="F149" s="136">
        <v>700</v>
      </c>
      <c r="G149" s="11">
        <v>700</v>
      </c>
      <c r="H149" s="11">
        <v>700</v>
      </c>
      <c r="I149" s="12">
        <v>700</v>
      </c>
      <c r="J149" s="13">
        <v>700</v>
      </c>
      <c r="L149" s="1"/>
      <c r="M149" s="1"/>
      <c r="N149" s="1"/>
      <c r="O149" s="1"/>
      <c r="P149" s="1"/>
      <c r="Q149" s="1"/>
    </row>
    <row r="150" spans="1:17" x14ac:dyDescent="0.25">
      <c r="B150" s="30"/>
      <c r="C150" s="46" t="s">
        <v>85</v>
      </c>
      <c r="D150" s="16"/>
      <c r="E150" s="16"/>
      <c r="F150" s="136"/>
      <c r="G150" s="16"/>
      <c r="H150" s="16"/>
      <c r="I150" s="17"/>
      <c r="J150" s="18"/>
      <c r="L150" s="1"/>
      <c r="M150" s="1"/>
      <c r="N150" s="1"/>
      <c r="O150" s="1"/>
      <c r="P150" s="1"/>
      <c r="Q150" s="1"/>
    </row>
    <row r="151" spans="1:17" s="1" customFormat="1" x14ac:dyDescent="0.25">
      <c r="B151" s="9">
        <f>1+B149</f>
        <v>109</v>
      </c>
      <c r="C151" s="114" t="s">
        <v>86</v>
      </c>
      <c r="D151" s="11">
        <v>29000</v>
      </c>
      <c r="E151" s="11"/>
      <c r="F151" s="136">
        <f>4000+4000</f>
        <v>8000</v>
      </c>
      <c r="G151" s="11">
        <f>4000+8000+9000</f>
        <v>21000</v>
      </c>
      <c r="H151" s="11"/>
      <c r="I151" s="12"/>
      <c r="J151" s="13"/>
    </row>
    <row r="152" spans="1:17" x14ac:dyDescent="0.25">
      <c r="B152" s="30">
        <f>1+B151</f>
        <v>110</v>
      </c>
      <c r="C152" s="15" t="s">
        <v>87</v>
      </c>
      <c r="D152" s="16"/>
      <c r="E152" s="16"/>
      <c r="F152" s="136">
        <v>6000</v>
      </c>
      <c r="G152" s="16">
        <v>6000</v>
      </c>
      <c r="H152" s="16">
        <v>6000</v>
      </c>
      <c r="I152" s="17">
        <v>6000</v>
      </c>
      <c r="J152" s="18">
        <v>6000</v>
      </c>
      <c r="L152" s="1"/>
      <c r="M152" s="1"/>
      <c r="N152" s="1"/>
      <c r="O152" s="1"/>
      <c r="P152" s="1"/>
      <c r="Q152" s="1"/>
    </row>
    <row r="153" spans="1:17" x14ac:dyDescent="0.25">
      <c r="B153" s="32"/>
      <c r="C153" s="42" t="s">
        <v>88</v>
      </c>
      <c r="D153" s="11"/>
      <c r="E153" s="11"/>
      <c r="F153" s="136"/>
      <c r="G153" s="11"/>
      <c r="H153" s="11"/>
      <c r="I153" s="12"/>
      <c r="J153" s="13"/>
      <c r="L153" s="1"/>
      <c r="M153" s="1"/>
      <c r="N153" s="1"/>
      <c r="O153" s="1"/>
      <c r="P153" s="1"/>
      <c r="Q153" s="1"/>
    </row>
    <row r="154" spans="1:17" x14ac:dyDescent="0.25">
      <c r="B154" s="191" t="s">
        <v>211</v>
      </c>
      <c r="C154" s="192" t="s">
        <v>201</v>
      </c>
      <c r="D154" s="187"/>
      <c r="E154" s="187"/>
      <c r="F154" s="187"/>
      <c r="G154" s="187">
        <v>5000</v>
      </c>
      <c r="H154" s="187"/>
      <c r="I154" s="188"/>
      <c r="J154" s="189"/>
      <c r="L154" s="1"/>
      <c r="M154" s="1"/>
      <c r="N154" s="1"/>
      <c r="O154" s="1"/>
      <c r="P154" s="1"/>
      <c r="Q154" s="1"/>
    </row>
    <row r="155" spans="1:17" s="1" customFormat="1" x14ac:dyDescent="0.25">
      <c r="B155" s="14">
        <f>1+B152</f>
        <v>111</v>
      </c>
      <c r="C155" s="70" t="s">
        <v>89</v>
      </c>
      <c r="D155" s="16">
        <v>3200</v>
      </c>
      <c r="E155" s="16"/>
      <c r="F155" s="136"/>
      <c r="G155" s="16">
        <v>3200</v>
      </c>
      <c r="H155" s="16"/>
      <c r="I155" s="17"/>
      <c r="J155" s="18"/>
      <c r="L155" s="2"/>
      <c r="M155" s="2"/>
      <c r="N155" s="2"/>
      <c r="O155" s="2"/>
      <c r="P155" s="2"/>
      <c r="Q155" s="2"/>
    </row>
    <row r="156" spans="1:17" s="1" customFormat="1" x14ac:dyDescent="0.25">
      <c r="B156" s="9">
        <f>1+B155</f>
        <v>112</v>
      </c>
      <c r="C156" s="1" t="s">
        <v>140</v>
      </c>
      <c r="D156" s="11">
        <v>5700</v>
      </c>
      <c r="E156" s="11"/>
      <c r="F156" s="136"/>
      <c r="G156" s="11"/>
      <c r="H156" s="11">
        <v>5700</v>
      </c>
      <c r="I156" s="12"/>
      <c r="J156" s="13"/>
      <c r="L156" s="2"/>
      <c r="M156" s="2"/>
      <c r="N156" s="2"/>
      <c r="O156" s="2"/>
      <c r="P156" s="2"/>
      <c r="Q156" s="2"/>
    </row>
    <row r="157" spans="1:17" x14ac:dyDescent="0.25">
      <c r="B157" s="30">
        <f>1+B156</f>
        <v>113</v>
      </c>
      <c r="C157" s="15" t="s">
        <v>90</v>
      </c>
      <c r="D157" s="16"/>
      <c r="E157" s="16"/>
      <c r="F157" s="136">
        <v>8000</v>
      </c>
      <c r="G157" s="16">
        <v>8000</v>
      </c>
      <c r="H157" s="16">
        <v>8000</v>
      </c>
      <c r="I157" s="17">
        <v>8000</v>
      </c>
      <c r="J157" s="18">
        <v>8000</v>
      </c>
      <c r="L157" s="1"/>
      <c r="M157" s="1"/>
      <c r="N157" s="1"/>
      <c r="O157" s="1"/>
      <c r="P157" s="1"/>
      <c r="Q157" s="1"/>
    </row>
    <row r="158" spans="1:17" ht="30" x14ac:dyDescent="0.25">
      <c r="B158" s="32">
        <f>1+B157</f>
        <v>114</v>
      </c>
      <c r="C158" s="10" t="s">
        <v>158</v>
      </c>
      <c r="D158" s="11">
        <v>16264</v>
      </c>
      <c r="E158" s="11"/>
      <c r="F158" s="136"/>
      <c r="G158" s="11">
        <v>16264</v>
      </c>
      <c r="H158" s="11"/>
      <c r="I158" s="12"/>
      <c r="J158" s="13"/>
    </row>
    <row r="159" spans="1:17" s="160" customFormat="1" ht="36.75" customHeight="1" x14ac:dyDescent="0.25">
      <c r="A159" s="156"/>
      <c r="B159" s="47"/>
      <c r="C159" s="40" t="s">
        <v>91</v>
      </c>
      <c r="D159" s="161">
        <f>SUM(D122:D157)</f>
        <v>183900</v>
      </c>
      <c r="E159" s="161"/>
      <c r="F159" s="162">
        <f>SUM(F124:F157)</f>
        <v>115900</v>
      </c>
      <c r="G159" s="161">
        <f>SUM(G124:G158)</f>
        <v>196564</v>
      </c>
      <c r="H159" s="161">
        <f>SUM(H124:H157)</f>
        <v>115150</v>
      </c>
      <c r="I159" s="157">
        <f>SUM(I124:I157)</f>
        <v>109450</v>
      </c>
      <c r="J159" s="159">
        <f>SUM(J122:J157)</f>
        <v>97450</v>
      </c>
      <c r="L159" s="2"/>
      <c r="M159" s="2"/>
      <c r="N159" s="2"/>
      <c r="O159" s="2"/>
      <c r="P159" s="2"/>
      <c r="Q159" s="2"/>
    </row>
    <row r="160" spans="1:17" x14ac:dyDescent="0.25">
      <c r="B160" s="67"/>
      <c r="C160" s="68" t="s">
        <v>92</v>
      </c>
      <c r="D160" s="69"/>
      <c r="E160" s="69"/>
      <c r="F160" s="136"/>
      <c r="G160" s="51"/>
      <c r="H160" s="51"/>
      <c r="I160" s="52"/>
      <c r="J160" s="53"/>
    </row>
    <row r="161" spans="1:17" x14ac:dyDescent="0.25">
      <c r="B161" s="191" t="s">
        <v>211</v>
      </c>
      <c r="C161" s="193" t="s">
        <v>205</v>
      </c>
      <c r="D161" s="194"/>
      <c r="E161" s="194"/>
      <c r="F161" s="187"/>
      <c r="G161" s="187">
        <v>2000</v>
      </c>
      <c r="H161" s="187">
        <v>2000</v>
      </c>
      <c r="I161" s="188">
        <v>2000</v>
      </c>
      <c r="J161" s="189">
        <v>2000</v>
      </c>
      <c r="L161" s="1"/>
      <c r="M161" s="1"/>
      <c r="N161" s="1"/>
      <c r="O161" s="1"/>
      <c r="P161" s="1"/>
      <c r="Q161" s="1"/>
    </row>
    <row r="162" spans="1:17" x14ac:dyDescent="0.25">
      <c r="B162" s="191" t="s">
        <v>211</v>
      </c>
      <c r="C162" s="193" t="s">
        <v>206</v>
      </c>
      <c r="D162" s="194"/>
      <c r="E162" s="194"/>
      <c r="F162" s="187"/>
      <c r="G162" s="187">
        <v>10000</v>
      </c>
      <c r="H162" s="187">
        <v>10000</v>
      </c>
      <c r="I162" s="188">
        <v>10000</v>
      </c>
      <c r="J162" s="189">
        <v>10000</v>
      </c>
      <c r="L162" s="1"/>
      <c r="M162" s="1"/>
      <c r="N162" s="1"/>
      <c r="O162" s="1"/>
      <c r="P162" s="1"/>
      <c r="Q162" s="1"/>
    </row>
    <row r="163" spans="1:17" x14ac:dyDescent="0.25">
      <c r="B163" s="191" t="s">
        <v>211</v>
      </c>
      <c r="C163" s="193" t="s">
        <v>207</v>
      </c>
      <c r="D163" s="194"/>
      <c r="E163" s="194"/>
      <c r="F163" s="187"/>
      <c r="G163" s="187">
        <v>5000</v>
      </c>
      <c r="H163" s="187">
        <v>5000</v>
      </c>
      <c r="I163" s="188">
        <v>2500</v>
      </c>
      <c r="J163" s="189"/>
    </row>
    <row r="164" spans="1:17" x14ac:dyDescent="0.25">
      <c r="B164" s="191" t="s">
        <v>211</v>
      </c>
      <c r="C164" s="193" t="s">
        <v>208</v>
      </c>
      <c r="D164" s="194"/>
      <c r="E164" s="194"/>
      <c r="F164" s="187"/>
      <c r="G164" s="187">
        <v>1000</v>
      </c>
      <c r="H164" s="187">
        <v>2000</v>
      </c>
      <c r="I164" s="188">
        <v>2000</v>
      </c>
      <c r="J164" s="189">
        <v>2000</v>
      </c>
    </row>
    <row r="165" spans="1:17" s="1" customFormat="1" x14ac:dyDescent="0.25">
      <c r="B165" s="14">
        <f>1+B158</f>
        <v>115</v>
      </c>
      <c r="C165" s="117" t="s">
        <v>138</v>
      </c>
      <c r="D165" s="16"/>
      <c r="E165" s="16"/>
      <c r="F165" s="136"/>
      <c r="G165" s="16">
        <v>1800</v>
      </c>
      <c r="H165" s="16">
        <v>2800</v>
      </c>
      <c r="I165" s="17">
        <v>800</v>
      </c>
      <c r="J165" s="18">
        <v>800</v>
      </c>
      <c r="L165" s="160"/>
      <c r="M165" s="160"/>
      <c r="N165" s="160"/>
      <c r="O165" s="160"/>
      <c r="P165" s="160"/>
      <c r="Q165" s="160"/>
    </row>
    <row r="166" spans="1:17" s="48" customFormat="1" x14ac:dyDescent="0.25">
      <c r="A166" s="48">
        <v>3844048</v>
      </c>
      <c r="B166" s="49">
        <f>1+B165</f>
        <v>116</v>
      </c>
      <c r="C166" s="50" t="s">
        <v>93</v>
      </c>
      <c r="D166" s="51">
        <v>3200</v>
      </c>
      <c r="E166" s="51"/>
      <c r="F166" s="136">
        <v>2000</v>
      </c>
      <c r="G166" s="51">
        <v>1200</v>
      </c>
      <c r="H166" s="51"/>
      <c r="I166" s="52"/>
      <c r="J166" s="53"/>
      <c r="L166" s="2"/>
      <c r="M166" s="2"/>
      <c r="N166" s="2"/>
      <c r="O166" s="2"/>
      <c r="P166" s="2"/>
      <c r="Q166" s="2"/>
    </row>
    <row r="167" spans="1:17" s="109" customFormat="1" x14ac:dyDescent="0.25">
      <c r="A167" s="108"/>
      <c r="B167" s="30">
        <f>1+B166</f>
        <v>117</v>
      </c>
      <c r="C167" s="15" t="s">
        <v>94</v>
      </c>
      <c r="D167" s="16"/>
      <c r="E167" s="16"/>
      <c r="F167" s="136">
        <v>19100</v>
      </c>
      <c r="G167" s="16">
        <v>20100</v>
      </c>
      <c r="H167" s="16">
        <v>21100</v>
      </c>
      <c r="I167" s="17">
        <v>22100</v>
      </c>
      <c r="J167" s="18">
        <v>23100</v>
      </c>
      <c r="L167" s="2"/>
      <c r="M167" s="2"/>
      <c r="N167" s="2"/>
      <c r="O167" s="2"/>
      <c r="P167" s="2"/>
      <c r="Q167" s="2"/>
    </row>
    <row r="168" spans="1:17" s="160" customFormat="1" ht="30.75" customHeight="1" x14ac:dyDescent="0.25">
      <c r="A168" s="156"/>
      <c r="B168" s="47"/>
      <c r="C168" s="40" t="s">
        <v>95</v>
      </c>
      <c r="D168" s="161">
        <f>SUM(D166:D167)</f>
        <v>3200</v>
      </c>
      <c r="E168" s="161"/>
      <c r="F168" s="162">
        <f>SUM(F166:F167)</f>
        <v>21100</v>
      </c>
      <c r="G168" s="161">
        <f>SUM(G161:G167)</f>
        <v>41100</v>
      </c>
      <c r="H168" s="161">
        <f>SUM(H161:H167)</f>
        <v>42900</v>
      </c>
      <c r="I168" s="161">
        <f>SUM(I161:I167)</f>
        <v>39400</v>
      </c>
      <c r="J168" s="161">
        <f>SUM(J161:J167)</f>
        <v>37900</v>
      </c>
      <c r="L168" s="2"/>
      <c r="M168" s="2"/>
      <c r="N168" s="2"/>
      <c r="O168" s="2"/>
      <c r="P168" s="2"/>
      <c r="Q168" s="2"/>
    </row>
    <row r="169" spans="1:17" x14ac:dyDescent="0.25">
      <c r="B169" s="30"/>
      <c r="C169" s="7" t="s">
        <v>96</v>
      </c>
      <c r="D169" s="31"/>
      <c r="E169" s="31"/>
      <c r="F169" s="136"/>
      <c r="G169" s="16"/>
      <c r="H169" s="16"/>
      <c r="I169" s="17"/>
      <c r="J169" s="18"/>
    </row>
    <row r="170" spans="1:17" x14ac:dyDescent="0.25">
      <c r="B170" s="67">
        <f>1+B167</f>
        <v>118</v>
      </c>
      <c r="C170" s="50" t="s">
        <v>97</v>
      </c>
      <c r="D170" s="69"/>
      <c r="E170" s="51"/>
      <c r="F170" s="136">
        <v>1500</v>
      </c>
      <c r="G170" s="51">
        <f>1500+800</f>
        <v>2300</v>
      </c>
      <c r="H170" s="51">
        <v>1500</v>
      </c>
      <c r="I170" s="12">
        <f>+H170</f>
        <v>1500</v>
      </c>
      <c r="J170" s="13">
        <v>1500</v>
      </c>
    </row>
    <row r="171" spans="1:17" x14ac:dyDescent="0.25">
      <c r="B171" s="71"/>
      <c r="C171" s="40" t="s">
        <v>98</v>
      </c>
      <c r="D171" s="66"/>
      <c r="E171" s="41"/>
      <c r="F171" s="136">
        <f>SUM(F170:F170)</f>
        <v>1500</v>
      </c>
      <c r="G171" s="41">
        <f>SUM(G170:G170)</f>
        <v>2300</v>
      </c>
      <c r="H171" s="41">
        <f>SUM(H170:H170)</f>
        <v>1500</v>
      </c>
      <c r="I171" s="72">
        <f>SUM(I170:I170)</f>
        <v>1500</v>
      </c>
      <c r="J171" s="73">
        <f>SUM(J170:J170)</f>
        <v>1500</v>
      </c>
      <c r="L171" s="1"/>
      <c r="M171" s="1"/>
      <c r="N171" s="1"/>
      <c r="O171" s="1"/>
      <c r="P171" s="1"/>
      <c r="Q171" s="1"/>
    </row>
    <row r="172" spans="1:17" x14ac:dyDescent="0.25">
      <c r="B172" s="30"/>
      <c r="C172" s="7" t="s">
        <v>99</v>
      </c>
      <c r="D172" s="31"/>
      <c r="E172" s="31"/>
      <c r="F172" s="136"/>
      <c r="G172" s="16"/>
      <c r="H172" s="16"/>
      <c r="I172" s="16"/>
      <c r="J172" s="22"/>
      <c r="L172" s="48"/>
      <c r="M172" s="48"/>
      <c r="N172" s="48"/>
      <c r="O172" s="48"/>
      <c r="P172" s="48"/>
      <c r="Q172" s="48"/>
    </row>
    <row r="173" spans="1:17" s="20" customFormat="1" x14ac:dyDescent="0.25">
      <c r="A173" s="20">
        <v>391444821</v>
      </c>
      <c r="B173" s="49">
        <f>1+B170</f>
        <v>119</v>
      </c>
      <c r="C173" s="50" t="s">
        <v>100</v>
      </c>
      <c r="D173" s="11">
        <v>305000</v>
      </c>
      <c r="E173" s="51">
        <v>3039</v>
      </c>
      <c r="F173" s="136">
        <f>20000-5000</f>
        <v>15000</v>
      </c>
      <c r="G173" s="51">
        <v>20000</v>
      </c>
      <c r="H173" s="51">
        <v>20000</v>
      </c>
      <c r="I173" s="12">
        <v>20000</v>
      </c>
      <c r="J173" s="13">
        <f>5000+20000</f>
        <v>25000</v>
      </c>
      <c r="L173" s="109"/>
      <c r="M173" s="109"/>
      <c r="N173" s="109"/>
      <c r="O173" s="109"/>
      <c r="P173" s="109"/>
      <c r="Q173" s="109"/>
    </row>
    <row r="174" spans="1:17" s="37" customFormat="1" x14ac:dyDescent="0.25">
      <c r="A174" s="20">
        <v>3844028</v>
      </c>
      <c r="B174" s="14">
        <f>1+B173</f>
        <v>120</v>
      </c>
      <c r="C174" s="15" t="s">
        <v>193</v>
      </c>
      <c r="D174" s="16">
        <v>30000</v>
      </c>
      <c r="E174" s="16"/>
      <c r="F174" s="136">
        <v>2000</v>
      </c>
      <c r="G174" s="16">
        <v>20000</v>
      </c>
      <c r="H174" s="16">
        <v>8000</v>
      </c>
      <c r="I174" s="17"/>
      <c r="J174" s="18"/>
      <c r="L174" s="160"/>
      <c r="M174" s="160"/>
      <c r="N174" s="160"/>
      <c r="O174" s="160"/>
      <c r="P174" s="160"/>
      <c r="Q174" s="160"/>
    </row>
    <row r="175" spans="1:17" s="37" customFormat="1" x14ac:dyDescent="0.25">
      <c r="A175" s="20"/>
      <c r="B175" s="9">
        <f>B174+1</f>
        <v>121</v>
      </c>
      <c r="C175" s="10" t="s">
        <v>101</v>
      </c>
      <c r="D175" s="11">
        <v>7000</v>
      </c>
      <c r="E175" s="11"/>
      <c r="F175" s="136"/>
      <c r="G175" s="11">
        <v>2000</v>
      </c>
      <c r="H175" s="11">
        <v>2000</v>
      </c>
      <c r="I175" s="12">
        <v>3000</v>
      </c>
      <c r="J175" s="13"/>
      <c r="L175" s="2"/>
      <c r="M175" s="2"/>
      <c r="N175" s="2"/>
      <c r="O175" s="2"/>
      <c r="P175" s="2"/>
      <c r="Q175" s="2"/>
    </row>
    <row r="176" spans="1:17" s="74" customFormat="1" ht="30" x14ac:dyDescent="0.25">
      <c r="A176" s="20"/>
      <c r="B176" s="14">
        <f>1+B175</f>
        <v>122</v>
      </c>
      <c r="C176" s="15" t="s">
        <v>194</v>
      </c>
      <c r="D176" s="16">
        <v>1100</v>
      </c>
      <c r="E176" s="16"/>
      <c r="F176" s="136"/>
      <c r="G176" s="16">
        <v>400</v>
      </c>
      <c r="H176" s="16">
        <v>700</v>
      </c>
      <c r="I176" s="17"/>
      <c r="J176" s="18"/>
      <c r="L176" s="2"/>
      <c r="M176" s="2"/>
      <c r="N176" s="2"/>
      <c r="O176" s="2"/>
      <c r="P176" s="2"/>
      <c r="Q176" s="2"/>
    </row>
    <row r="177" spans="1:17" s="48" customFormat="1" x14ac:dyDescent="0.25">
      <c r="B177" s="49">
        <f>1+B176</f>
        <v>123</v>
      </c>
      <c r="C177" s="50" t="s">
        <v>102</v>
      </c>
      <c r="D177" s="51">
        <v>25000</v>
      </c>
      <c r="E177" s="51"/>
      <c r="F177" s="136"/>
      <c r="G177" s="51"/>
      <c r="H177" s="51">
        <v>3000</v>
      </c>
      <c r="I177" s="52">
        <v>18000</v>
      </c>
      <c r="J177" s="53">
        <v>4000</v>
      </c>
      <c r="L177" s="2"/>
      <c r="M177" s="2"/>
      <c r="N177" s="2"/>
      <c r="O177" s="2"/>
      <c r="P177" s="2"/>
      <c r="Q177" s="2"/>
    </row>
    <row r="178" spans="1:17" s="48" customFormat="1" x14ac:dyDescent="0.25">
      <c r="B178" s="14">
        <f>1+B177</f>
        <v>124</v>
      </c>
      <c r="C178" s="15" t="s">
        <v>132</v>
      </c>
      <c r="D178" s="16">
        <v>37000</v>
      </c>
      <c r="E178" s="16"/>
      <c r="F178" s="136"/>
      <c r="G178" s="16"/>
      <c r="H178" s="16"/>
      <c r="I178" s="17"/>
      <c r="J178" s="18">
        <v>2000</v>
      </c>
      <c r="L178" s="2"/>
      <c r="M178" s="2"/>
      <c r="N178" s="2"/>
      <c r="O178" s="2"/>
      <c r="P178" s="2"/>
      <c r="Q178" s="2"/>
    </row>
    <row r="179" spans="1:17" s="48" customFormat="1" x14ac:dyDescent="0.25">
      <c r="B179" s="185" t="s">
        <v>211</v>
      </c>
      <c r="C179" s="195" t="s">
        <v>209</v>
      </c>
      <c r="D179" s="187"/>
      <c r="E179" s="187"/>
      <c r="F179" s="187"/>
      <c r="G179" s="187"/>
      <c r="H179" s="187"/>
      <c r="I179" s="188">
        <v>2000</v>
      </c>
      <c r="J179" s="189">
        <v>10000</v>
      </c>
      <c r="L179" s="20"/>
      <c r="M179" s="20"/>
      <c r="N179" s="20"/>
      <c r="O179" s="20"/>
      <c r="P179" s="20"/>
      <c r="Q179" s="20"/>
    </row>
    <row r="180" spans="1:17" s="37" customFormat="1" x14ac:dyDescent="0.25">
      <c r="A180" s="20"/>
      <c r="B180" s="9">
        <f>1+B178</f>
        <v>125</v>
      </c>
      <c r="C180" s="10" t="s">
        <v>103</v>
      </c>
      <c r="D180" s="11"/>
      <c r="E180" s="11"/>
      <c r="F180" s="136"/>
      <c r="G180" s="11">
        <v>200</v>
      </c>
      <c r="H180" s="11">
        <v>600</v>
      </c>
      <c r="I180" s="12"/>
      <c r="J180" s="13"/>
    </row>
    <row r="181" spans="1:17" s="160" customFormat="1" ht="34.5" customHeight="1" x14ac:dyDescent="0.25">
      <c r="A181" s="156"/>
      <c r="B181" s="71"/>
      <c r="C181" s="40" t="s">
        <v>104</v>
      </c>
      <c r="D181" s="161">
        <f>SUM(D173:D180)</f>
        <v>405100</v>
      </c>
      <c r="E181" s="161"/>
      <c r="F181" s="162">
        <f>SUM(F173:F180)</f>
        <v>17000</v>
      </c>
      <c r="G181" s="161">
        <f>SUM(G173:G180)</f>
        <v>42600</v>
      </c>
      <c r="H181" s="161">
        <f>SUM(H173:H180)</f>
        <v>34300</v>
      </c>
      <c r="I181" s="174">
        <f>SUM(I173:I180)</f>
        <v>43000</v>
      </c>
      <c r="J181" s="175">
        <f>SUM(J173:J180)</f>
        <v>41000</v>
      </c>
      <c r="L181" s="37"/>
      <c r="M181" s="37"/>
      <c r="N181" s="37"/>
      <c r="O181" s="37"/>
      <c r="P181" s="37"/>
      <c r="Q181" s="37"/>
    </row>
    <row r="182" spans="1:17" s="104" customFormat="1" x14ac:dyDescent="0.25">
      <c r="A182" s="58"/>
      <c r="B182" s="105"/>
      <c r="C182" s="102"/>
      <c r="D182" s="99"/>
      <c r="E182" s="99"/>
      <c r="F182" s="136"/>
      <c r="G182" s="51"/>
      <c r="H182" s="51"/>
      <c r="I182" s="51"/>
      <c r="J182" s="98"/>
      <c r="L182" s="74"/>
      <c r="M182" s="74"/>
      <c r="N182" s="74"/>
      <c r="O182" s="74"/>
      <c r="P182" s="74"/>
      <c r="Q182" s="74"/>
    </row>
    <row r="183" spans="1:17" s="176" customFormat="1" ht="30" customHeight="1" x14ac:dyDescent="0.25">
      <c r="B183" s="122"/>
      <c r="C183" s="40" t="s">
        <v>156</v>
      </c>
      <c r="D183" s="177">
        <f>+D181+D171+D168+D159+D121+D93+D84</f>
        <v>4760636</v>
      </c>
      <c r="E183" s="177"/>
      <c r="F183" s="162">
        <f>+F182+F181+F171+F168+F159+F121+F93+F84</f>
        <v>808700</v>
      </c>
      <c r="G183" s="161">
        <f>+G182+G181+G171+G168+G159+G121+G93+G84</f>
        <v>1293444</v>
      </c>
      <c r="H183" s="161">
        <f>+H182+H181+H171+H168+H159+H121+H93+H84</f>
        <v>982400</v>
      </c>
      <c r="I183" s="161">
        <f>+I182+I181+I171+I168+I159+I121+I93+I84</f>
        <v>980450</v>
      </c>
      <c r="J183" s="159">
        <f>+J182+J181+J171+J168+J159+J121+J93+J84</f>
        <v>814150</v>
      </c>
      <c r="L183" s="48"/>
      <c r="M183" s="48"/>
      <c r="N183" s="48"/>
      <c r="O183" s="48"/>
      <c r="P183" s="48"/>
      <c r="Q183" s="48"/>
    </row>
    <row r="184" spans="1:17" x14ac:dyDescent="0.25">
      <c r="B184" s="32"/>
      <c r="C184" s="33" t="s">
        <v>105</v>
      </c>
      <c r="F184" s="136"/>
      <c r="G184" s="11"/>
      <c r="H184" s="11"/>
      <c r="I184" s="1"/>
      <c r="J184" s="135"/>
      <c r="L184" s="48"/>
      <c r="M184" s="48"/>
      <c r="N184" s="48"/>
      <c r="O184" s="48"/>
      <c r="P184" s="48"/>
      <c r="Q184" s="48"/>
    </row>
    <row r="185" spans="1:17" s="1" customFormat="1" x14ac:dyDescent="0.25">
      <c r="B185" s="14">
        <f>1+B180</f>
        <v>126</v>
      </c>
      <c r="C185" s="15" t="s">
        <v>106</v>
      </c>
      <c r="D185" s="16"/>
      <c r="E185" s="16"/>
      <c r="F185" s="136">
        <f>206110+11200+6700</f>
        <v>224010</v>
      </c>
      <c r="G185" s="16">
        <v>152690</v>
      </c>
      <c r="H185" s="16">
        <v>197200</v>
      </c>
      <c r="I185" s="17">
        <v>246000</v>
      </c>
      <c r="J185" s="18">
        <v>303600</v>
      </c>
      <c r="L185" s="48"/>
      <c r="M185" s="48"/>
      <c r="N185" s="48"/>
      <c r="O185" s="48"/>
      <c r="P185" s="48"/>
      <c r="Q185" s="48"/>
    </row>
    <row r="186" spans="1:17" s="1" customFormat="1" x14ac:dyDescent="0.25">
      <c r="B186" s="9">
        <f>B185+1</f>
        <v>127</v>
      </c>
      <c r="C186" s="10" t="s">
        <v>107</v>
      </c>
      <c r="D186" s="11"/>
      <c r="E186" s="11"/>
      <c r="F186" s="136">
        <v>139000</v>
      </c>
      <c r="G186" s="11">
        <v>153000</v>
      </c>
      <c r="H186" s="11">
        <v>112000</v>
      </c>
      <c r="I186" s="11">
        <v>104000</v>
      </c>
      <c r="J186" s="24">
        <v>83000</v>
      </c>
      <c r="K186" s="12"/>
      <c r="L186" s="37"/>
      <c r="M186" s="37"/>
      <c r="N186" s="37"/>
      <c r="O186" s="37"/>
      <c r="P186" s="37"/>
      <c r="Q186" s="37"/>
    </row>
    <row r="187" spans="1:17" s="1" customFormat="1" x14ac:dyDescent="0.25">
      <c r="B187" s="14">
        <f>B186+1</f>
        <v>128</v>
      </c>
      <c r="C187" s="15" t="s">
        <v>108</v>
      </c>
      <c r="D187" s="16"/>
      <c r="E187" s="16"/>
      <c r="F187" s="136">
        <v>43600</v>
      </c>
      <c r="G187" s="16">
        <v>43600</v>
      </c>
      <c r="H187" s="16">
        <v>43600</v>
      </c>
      <c r="I187" s="17">
        <v>43600</v>
      </c>
      <c r="J187" s="18">
        <f>+I187</f>
        <v>43600</v>
      </c>
      <c r="L187" s="160"/>
      <c r="M187" s="160"/>
      <c r="N187" s="160"/>
      <c r="O187" s="160"/>
      <c r="P187" s="160"/>
      <c r="Q187" s="160"/>
    </row>
    <row r="188" spans="1:17" s="1" customFormat="1" x14ac:dyDescent="0.25">
      <c r="B188" s="9">
        <f t="shared" ref="B188:B194" si="4">1+B187</f>
        <v>129</v>
      </c>
      <c r="C188" s="10" t="s">
        <v>153</v>
      </c>
      <c r="D188" s="11"/>
      <c r="E188" s="11"/>
      <c r="F188" s="136">
        <v>184000</v>
      </c>
      <c r="G188" s="11">
        <v>135000</v>
      </c>
      <c r="H188" s="11">
        <v>25000</v>
      </c>
      <c r="I188" s="12">
        <v>4000</v>
      </c>
      <c r="J188" s="13"/>
      <c r="L188" s="104"/>
      <c r="M188" s="104"/>
      <c r="N188" s="104"/>
      <c r="O188" s="104"/>
      <c r="P188" s="104"/>
      <c r="Q188" s="104"/>
    </row>
    <row r="189" spans="1:17" s="1" customFormat="1" ht="30" x14ac:dyDescent="0.25">
      <c r="B189" s="14">
        <f t="shared" si="4"/>
        <v>130</v>
      </c>
      <c r="C189" s="15" t="s">
        <v>109</v>
      </c>
      <c r="D189" s="16"/>
      <c r="E189" s="16"/>
      <c r="F189" s="136"/>
      <c r="G189" s="16"/>
      <c r="H189" s="16">
        <v>44000</v>
      </c>
      <c r="I189" s="77">
        <v>16000</v>
      </c>
      <c r="J189" s="78"/>
      <c r="L189" s="176"/>
      <c r="M189" s="176"/>
      <c r="N189" s="176"/>
      <c r="O189" s="176"/>
      <c r="P189" s="176"/>
      <c r="Q189" s="176"/>
    </row>
    <row r="190" spans="1:17" s="1" customFormat="1" x14ac:dyDescent="0.25">
      <c r="B190" s="9">
        <f t="shared" si="4"/>
        <v>131</v>
      </c>
      <c r="C190" s="10" t="s">
        <v>110</v>
      </c>
      <c r="D190" s="11"/>
      <c r="E190" s="11"/>
      <c r="F190" s="136"/>
      <c r="G190" s="11"/>
      <c r="H190" s="11">
        <v>5000</v>
      </c>
      <c r="I190" s="75">
        <v>10000</v>
      </c>
      <c r="J190" s="76"/>
      <c r="L190" s="2"/>
      <c r="M190" s="2"/>
      <c r="N190" s="2"/>
      <c r="O190" s="2"/>
      <c r="P190" s="2"/>
      <c r="Q190" s="2"/>
    </row>
    <row r="191" spans="1:17" s="20" customFormat="1" x14ac:dyDescent="0.25">
      <c r="B191" s="14">
        <f t="shared" si="4"/>
        <v>132</v>
      </c>
      <c r="C191" s="15" t="s">
        <v>111</v>
      </c>
      <c r="D191" s="16"/>
      <c r="E191" s="16"/>
      <c r="F191" s="136">
        <v>0</v>
      </c>
      <c r="G191" s="16"/>
      <c r="H191" s="16">
        <v>230195</v>
      </c>
      <c r="I191" s="118"/>
      <c r="J191" s="119"/>
      <c r="L191" s="1"/>
      <c r="M191" s="1"/>
      <c r="N191" s="1"/>
      <c r="O191" s="1"/>
      <c r="P191" s="1"/>
      <c r="Q191" s="1"/>
    </row>
    <row r="192" spans="1:17" s="1" customFormat="1" x14ac:dyDescent="0.25">
      <c r="B192" s="9">
        <f t="shared" si="4"/>
        <v>133</v>
      </c>
      <c r="C192" s="10" t="s">
        <v>112</v>
      </c>
      <c r="D192" s="11"/>
      <c r="E192" s="11"/>
      <c r="F192" s="136"/>
      <c r="G192" s="11">
        <v>6300</v>
      </c>
      <c r="H192" s="11">
        <f>17300-6300</f>
        <v>11000</v>
      </c>
      <c r="I192" s="12"/>
      <c r="J192" s="13"/>
    </row>
    <row r="193" spans="1:17" s="58" customFormat="1" x14ac:dyDescent="0.25">
      <c r="B193" s="14">
        <f t="shared" si="4"/>
        <v>134</v>
      </c>
      <c r="C193" s="15" t="s">
        <v>113</v>
      </c>
      <c r="D193" s="16"/>
      <c r="E193" s="16"/>
      <c r="F193" s="136"/>
      <c r="G193" s="16">
        <v>20000</v>
      </c>
      <c r="H193" s="16"/>
      <c r="I193" s="17"/>
      <c r="J193" s="18"/>
      <c r="L193" s="1"/>
      <c r="M193" s="1"/>
      <c r="N193" s="1"/>
      <c r="O193" s="1"/>
      <c r="P193" s="1"/>
      <c r="Q193" s="1"/>
    </row>
    <row r="194" spans="1:17" s="1" customFormat="1" x14ac:dyDescent="0.25">
      <c r="B194" s="9">
        <f t="shared" si="4"/>
        <v>135</v>
      </c>
      <c r="C194" s="10" t="s">
        <v>114</v>
      </c>
      <c r="D194" s="11"/>
      <c r="E194" s="11"/>
      <c r="F194" s="136">
        <v>800</v>
      </c>
      <c r="G194" s="11">
        <v>800</v>
      </c>
      <c r="H194" s="11">
        <v>800</v>
      </c>
      <c r="I194" s="11">
        <v>800</v>
      </c>
      <c r="J194" s="24"/>
    </row>
    <row r="195" spans="1:17" s="20" customFormat="1" x14ac:dyDescent="0.25">
      <c r="B195" s="14">
        <f>B194+1</f>
        <v>136</v>
      </c>
      <c r="C195" s="15" t="s">
        <v>115</v>
      </c>
      <c r="D195" s="16"/>
      <c r="E195" s="16"/>
      <c r="F195" s="136"/>
      <c r="G195" s="16">
        <v>36600</v>
      </c>
      <c r="H195" s="16"/>
      <c r="I195" s="54"/>
      <c r="J195" s="79"/>
      <c r="L195" s="1"/>
      <c r="M195" s="1"/>
      <c r="N195" s="1"/>
      <c r="O195" s="1"/>
      <c r="P195" s="1"/>
      <c r="Q195" s="1"/>
    </row>
    <row r="196" spans="1:17" s="20" customFormat="1" ht="30" x14ac:dyDescent="0.25">
      <c r="B196" s="9">
        <f t="shared" ref="B196:B208" si="5">1+B195</f>
        <v>137</v>
      </c>
      <c r="C196" s="10" t="s">
        <v>116</v>
      </c>
      <c r="D196" s="11"/>
      <c r="E196" s="11"/>
      <c r="F196" s="136">
        <v>2740</v>
      </c>
      <c r="G196" s="11">
        <v>3450</v>
      </c>
      <c r="H196" s="11">
        <v>2200</v>
      </c>
      <c r="J196" s="110"/>
      <c r="L196" s="1"/>
      <c r="M196" s="1"/>
      <c r="N196" s="1"/>
      <c r="O196" s="1"/>
      <c r="P196" s="1"/>
      <c r="Q196" s="1"/>
    </row>
    <row r="197" spans="1:17" s="20" customFormat="1" x14ac:dyDescent="0.25">
      <c r="B197" s="14">
        <f t="shared" si="5"/>
        <v>138</v>
      </c>
      <c r="C197" s="15" t="s">
        <v>117</v>
      </c>
      <c r="D197" s="16"/>
      <c r="E197" s="16"/>
      <c r="F197" s="136">
        <v>6000</v>
      </c>
      <c r="G197" s="16">
        <v>6000</v>
      </c>
      <c r="H197" s="16"/>
      <c r="I197" s="54"/>
      <c r="J197" s="79"/>
    </row>
    <row r="198" spans="1:17" s="20" customFormat="1" x14ac:dyDescent="0.25">
      <c r="B198" s="9">
        <f t="shared" si="5"/>
        <v>139</v>
      </c>
      <c r="C198" s="10" t="s">
        <v>118</v>
      </c>
      <c r="D198" s="11"/>
      <c r="E198" s="11"/>
      <c r="F198" s="136">
        <v>1000</v>
      </c>
      <c r="G198" s="11">
        <v>2000</v>
      </c>
      <c r="H198" s="11"/>
      <c r="J198" s="110"/>
      <c r="L198" s="1"/>
      <c r="M198" s="1"/>
      <c r="N198" s="1"/>
      <c r="O198" s="1"/>
      <c r="P198" s="1"/>
      <c r="Q198" s="1"/>
    </row>
    <row r="199" spans="1:17" s="21" customFormat="1" x14ac:dyDescent="0.25">
      <c r="A199" s="20"/>
      <c r="B199" s="14">
        <f>1+B198</f>
        <v>140</v>
      </c>
      <c r="C199" s="15" t="s">
        <v>119</v>
      </c>
      <c r="D199" s="16"/>
      <c r="E199" s="16"/>
      <c r="F199" s="136"/>
      <c r="G199" s="16"/>
      <c r="H199" s="16"/>
      <c r="I199" s="80">
        <v>2000</v>
      </c>
      <c r="J199" s="81"/>
      <c r="L199" s="58"/>
      <c r="M199" s="58"/>
      <c r="N199" s="58"/>
      <c r="O199" s="58"/>
      <c r="P199" s="58"/>
      <c r="Q199" s="58"/>
    </row>
    <row r="200" spans="1:17" s="21" customFormat="1" x14ac:dyDescent="0.25">
      <c r="A200" s="20"/>
      <c r="B200" s="9">
        <f t="shared" si="5"/>
        <v>141</v>
      </c>
      <c r="C200" s="10" t="s">
        <v>120</v>
      </c>
      <c r="D200" s="11"/>
      <c r="E200" s="11"/>
      <c r="F200" s="136"/>
      <c r="G200" s="11">
        <v>4000</v>
      </c>
      <c r="H200" s="11"/>
      <c r="I200" s="20"/>
      <c r="J200" s="110"/>
      <c r="L200" s="1"/>
      <c r="M200" s="1"/>
      <c r="N200" s="1"/>
      <c r="O200" s="1"/>
      <c r="P200" s="1"/>
      <c r="Q200" s="1"/>
    </row>
    <row r="201" spans="1:17" s="21" customFormat="1" x14ac:dyDescent="0.25">
      <c r="A201" s="20"/>
      <c r="B201" s="14">
        <f t="shared" si="5"/>
        <v>142</v>
      </c>
      <c r="C201" s="15" t="s">
        <v>121</v>
      </c>
      <c r="D201" s="16"/>
      <c r="E201" s="16"/>
      <c r="F201" s="136"/>
      <c r="G201" s="16"/>
      <c r="H201" s="16">
        <v>10000</v>
      </c>
      <c r="I201" s="54"/>
      <c r="J201" s="79"/>
      <c r="L201" s="20"/>
      <c r="M201" s="20"/>
      <c r="N201" s="20"/>
      <c r="O201" s="20"/>
      <c r="P201" s="20"/>
      <c r="Q201" s="20"/>
    </row>
    <row r="202" spans="1:17" s="21" customFormat="1" x14ac:dyDescent="0.25">
      <c r="A202" s="20"/>
      <c r="B202" s="9">
        <f t="shared" si="5"/>
        <v>143</v>
      </c>
      <c r="C202" s="10" t="s">
        <v>144</v>
      </c>
      <c r="D202" s="11"/>
      <c r="E202" s="11"/>
      <c r="F202" s="136"/>
      <c r="G202" s="11">
        <v>86155</v>
      </c>
      <c r="H202" s="11"/>
      <c r="I202" s="20"/>
      <c r="J202" s="110"/>
      <c r="L202" s="20"/>
      <c r="M202" s="20"/>
      <c r="N202" s="20"/>
      <c r="O202" s="20"/>
      <c r="P202" s="20"/>
      <c r="Q202" s="20"/>
    </row>
    <row r="203" spans="1:17" s="21" customFormat="1" x14ac:dyDescent="0.25">
      <c r="A203" s="20"/>
      <c r="B203" s="14">
        <f t="shared" si="5"/>
        <v>144</v>
      </c>
      <c r="C203" s="15" t="s">
        <v>145</v>
      </c>
      <c r="D203" s="16"/>
      <c r="E203" s="16"/>
      <c r="F203" s="136"/>
      <c r="G203" s="16">
        <v>8000</v>
      </c>
      <c r="H203" s="16"/>
      <c r="I203" s="54"/>
      <c r="J203" s="79"/>
      <c r="L203" s="20"/>
      <c r="M203" s="20"/>
      <c r="N203" s="20"/>
      <c r="O203" s="20"/>
      <c r="P203" s="20"/>
      <c r="Q203" s="20"/>
    </row>
    <row r="204" spans="1:17" s="21" customFormat="1" x14ac:dyDescent="0.25">
      <c r="A204" s="20"/>
      <c r="B204" s="9">
        <f t="shared" si="5"/>
        <v>145</v>
      </c>
      <c r="C204" s="10" t="s">
        <v>122</v>
      </c>
      <c r="D204" s="11"/>
      <c r="E204" s="11"/>
      <c r="F204" s="136"/>
      <c r="G204" s="11"/>
      <c r="H204" s="11">
        <v>5000</v>
      </c>
      <c r="I204" s="111">
        <v>5000</v>
      </c>
      <c r="J204" s="112"/>
      <c r="L204" s="20"/>
      <c r="M204" s="20"/>
      <c r="N204" s="20"/>
      <c r="O204" s="20"/>
      <c r="P204" s="20"/>
      <c r="Q204" s="20"/>
    </row>
    <row r="205" spans="1:17" s="21" customFormat="1" x14ac:dyDescent="0.25">
      <c r="A205" s="20"/>
      <c r="B205" s="14">
        <f t="shared" si="5"/>
        <v>146</v>
      </c>
      <c r="C205" s="15" t="s">
        <v>147</v>
      </c>
      <c r="D205" s="16"/>
      <c r="E205" s="16"/>
      <c r="F205" s="136"/>
      <c r="G205" s="138">
        <v>7354</v>
      </c>
      <c r="H205" s="16">
        <v>14538</v>
      </c>
      <c r="I205" s="80">
        <v>21587</v>
      </c>
      <c r="J205" s="81">
        <v>28043.666666666668</v>
      </c>
    </row>
    <row r="206" spans="1:17" s="21" customFormat="1" x14ac:dyDescent="0.25">
      <c r="A206" s="20"/>
      <c r="B206" s="9">
        <f t="shared" si="5"/>
        <v>147</v>
      </c>
      <c r="C206" s="10" t="s">
        <v>154</v>
      </c>
      <c r="D206" s="11"/>
      <c r="E206" s="11"/>
      <c r="F206" s="136"/>
      <c r="G206" s="120"/>
      <c r="H206" s="11"/>
      <c r="I206" s="111"/>
      <c r="J206" s="112">
        <v>7500</v>
      </c>
    </row>
    <row r="207" spans="1:17" s="21" customFormat="1" x14ac:dyDescent="0.25">
      <c r="A207" s="20"/>
      <c r="B207" s="14">
        <f t="shared" si="5"/>
        <v>148</v>
      </c>
      <c r="C207" s="15" t="s">
        <v>155</v>
      </c>
      <c r="D207" s="16"/>
      <c r="E207" s="16"/>
      <c r="F207" s="136"/>
      <c r="G207" s="121"/>
      <c r="H207" s="16"/>
      <c r="I207" s="80"/>
      <c r="J207" s="81">
        <v>4500</v>
      </c>
    </row>
    <row r="208" spans="1:17" s="21" customFormat="1" x14ac:dyDescent="0.25">
      <c r="A208" s="20"/>
      <c r="B208" s="9">
        <f t="shared" si="5"/>
        <v>149</v>
      </c>
      <c r="C208" s="10" t="s">
        <v>159</v>
      </c>
      <c r="D208" s="11"/>
      <c r="E208" s="11"/>
      <c r="F208" s="136"/>
      <c r="G208" s="125">
        <v>81264</v>
      </c>
      <c r="H208" s="11"/>
      <c r="I208" s="111"/>
      <c r="J208" s="112"/>
      <c r="K208" s="139"/>
    </row>
    <row r="209" spans="1:17" s="21" customFormat="1" x14ac:dyDescent="0.25">
      <c r="A209" s="20"/>
      <c r="B209" s="185" t="s">
        <v>211</v>
      </c>
      <c r="C209" s="196" t="s">
        <v>210</v>
      </c>
      <c r="D209" s="197"/>
      <c r="E209" s="197"/>
      <c r="F209" s="197"/>
      <c r="G209" s="198">
        <v>18900</v>
      </c>
      <c r="H209" s="198">
        <v>48000</v>
      </c>
      <c r="I209" s="198">
        <v>117500</v>
      </c>
      <c r="J209" s="199">
        <v>121000</v>
      </c>
      <c r="K209" s="139"/>
    </row>
    <row r="210" spans="1:17" s="21" customFormat="1" x14ac:dyDescent="0.25">
      <c r="A210" s="20"/>
      <c r="B210" s="30">
        <f>1+B208</f>
        <v>150</v>
      </c>
      <c r="C210" s="15" t="s">
        <v>123</v>
      </c>
      <c r="D210" s="31"/>
      <c r="E210" s="31"/>
      <c r="F210" s="136">
        <v>593905</v>
      </c>
      <c r="G210" s="16">
        <v>528331</v>
      </c>
      <c r="H210" s="16">
        <v>233867</v>
      </c>
      <c r="I210" s="16">
        <v>409963</v>
      </c>
      <c r="J210" s="22">
        <v>222906.33333333331</v>
      </c>
      <c r="K210" s="139"/>
    </row>
    <row r="211" spans="1:17" s="21" customFormat="1" x14ac:dyDescent="0.25">
      <c r="A211" s="20"/>
      <c r="B211" s="47"/>
      <c r="C211" s="40" t="s">
        <v>124</v>
      </c>
      <c r="D211" s="66"/>
      <c r="E211" s="66"/>
      <c r="F211" s="66"/>
      <c r="G211" s="41">
        <f>SUM(G185:G210)</f>
        <v>1293444</v>
      </c>
      <c r="H211" s="41">
        <f>SUM(H185:H210)</f>
        <v>982400</v>
      </c>
      <c r="I211" s="41">
        <f>SUM(I185:I210)</f>
        <v>980450</v>
      </c>
      <c r="J211" s="29">
        <f>SUM(J185:J210)</f>
        <v>814150</v>
      </c>
      <c r="K211" s="139"/>
    </row>
    <row r="212" spans="1:17" x14ac:dyDescent="0.25">
      <c r="B212" s="26"/>
      <c r="C212" s="40" t="s">
        <v>125</v>
      </c>
      <c r="D212" s="82"/>
      <c r="E212" s="82"/>
      <c r="F212" s="82"/>
      <c r="G212" s="83">
        <f>1-G213</f>
        <v>0.57691944916053572</v>
      </c>
      <c r="H212" s="83">
        <f>1-H213</f>
        <v>0.71308326547231271</v>
      </c>
      <c r="I212" s="83">
        <f>1-I213</f>
        <v>0.46201948085062983</v>
      </c>
      <c r="J212" s="147">
        <f>1-J213</f>
        <v>0.57758848697005061</v>
      </c>
      <c r="L212" s="21"/>
      <c r="M212" s="21"/>
      <c r="N212" s="21"/>
      <c r="O212" s="21"/>
      <c r="P212" s="21"/>
      <c r="Q212" s="21"/>
    </row>
    <row r="213" spans="1:17" ht="15.75" thickBot="1" x14ac:dyDescent="0.3">
      <c r="B213" s="84"/>
      <c r="C213" s="85" t="s">
        <v>126</v>
      </c>
      <c r="D213" s="86"/>
      <c r="E213" s="86"/>
      <c r="F213" s="86"/>
      <c r="G213" s="87">
        <f>+(G209+G210)/G211</f>
        <v>0.42308055083946428</v>
      </c>
      <c r="H213" s="87">
        <f>+(H209+H210)/H211</f>
        <v>0.28691673452768729</v>
      </c>
      <c r="I213" s="87">
        <f>+(I209+I210)/I211</f>
        <v>0.53798051914937017</v>
      </c>
      <c r="J213" s="148">
        <f>+(J209+J210)/J211</f>
        <v>0.42241151302994939</v>
      </c>
      <c r="L213" s="21"/>
      <c r="M213" s="21"/>
      <c r="N213" s="21"/>
      <c r="O213" s="21"/>
      <c r="P213" s="21"/>
      <c r="Q213" s="21"/>
    </row>
    <row r="214" spans="1:17" x14ac:dyDescent="0.25">
      <c r="C214" s="90"/>
      <c r="L214" s="21"/>
      <c r="M214" s="21"/>
      <c r="N214" s="21"/>
      <c r="O214" s="21"/>
      <c r="P214" s="21"/>
      <c r="Q214" s="21"/>
    </row>
    <row r="215" spans="1:17" ht="15.75" thickBot="1" x14ac:dyDescent="0.3">
      <c r="C215" s="91"/>
      <c r="I215" s="34"/>
      <c r="J215" s="34"/>
      <c r="L215" s="21"/>
      <c r="M215" s="21"/>
      <c r="N215" s="21"/>
      <c r="O215" s="21"/>
      <c r="P215" s="21"/>
      <c r="Q215" s="21"/>
    </row>
    <row r="216" spans="1:17" ht="30" x14ac:dyDescent="0.25">
      <c r="C216" s="149" t="s">
        <v>148</v>
      </c>
      <c r="D216" s="150">
        <f>SUM(G211:J211)</f>
        <v>4070444</v>
      </c>
      <c r="I216" s="34"/>
      <c r="J216" s="34"/>
      <c r="L216" s="21"/>
      <c r="M216" s="21"/>
      <c r="N216" s="21"/>
      <c r="O216" s="21"/>
      <c r="P216" s="21"/>
      <c r="Q216" s="21"/>
    </row>
    <row r="217" spans="1:17" x14ac:dyDescent="0.25">
      <c r="C217" s="151" t="s">
        <v>127</v>
      </c>
      <c r="D217" s="152">
        <f>SUM(G210:J210,G209:J209)</f>
        <v>1700467.3333333333</v>
      </c>
      <c r="I217" s="34"/>
      <c r="J217" s="34"/>
      <c r="L217" s="21"/>
      <c r="M217" s="21"/>
      <c r="O217" s="21"/>
      <c r="P217" s="21"/>
      <c r="Q217" s="21"/>
    </row>
    <row r="218" spans="1:17" x14ac:dyDescent="0.25">
      <c r="C218" s="151" t="s">
        <v>128</v>
      </c>
      <c r="D218" s="153">
        <v>0.6</v>
      </c>
    </row>
    <row r="219" spans="1:17" ht="15.75" thickBot="1" x14ac:dyDescent="0.3">
      <c r="C219" s="154" t="s">
        <v>129</v>
      </c>
      <c r="D219" s="155">
        <f>+D217/D216</f>
        <v>0.41775966782329721</v>
      </c>
    </row>
  </sheetData>
  <conditionalFormatting sqref="E79:F79">
    <cfRule type="expression" dxfId="192" priority="9">
      <formula>#REF!=#REF!</formula>
    </cfRule>
    <cfRule type="expression" dxfId="191" priority="10">
      <formula>#REF!=#REF!</formula>
    </cfRule>
  </conditionalFormatting>
  <conditionalFormatting sqref="G79:H79 B30:B34 I159:J159 B50 G192:H193 G13:J14 B28 B6:B7 B88 B16 C79:D79 B192:E193 B13:E14 D28:H28 B136:J136 B118:H119 B172:J172 B90:J90 B3:H5 B106:J107 B116:J117 B123:H135 B29:H29 B17:J17 B63:J63 B91:H91 B85:H85 B43:J43 B120:J122 I171:J171 I181:J181 F61:H62 B184:H185 B64:H65 B35:J35 B60:J60 C80:H80 B51:H59 B44:H49 B186:J186 B8:H12 B86 D86:H86 B93:J93 B169:H171 B156 D156:H156 B15:H15 B66:B80 B81:J84 B87:H87 B187:H191 B61:D62 B94:H105 B108:H115 I194:J194 B194:H208 B18:H27 B36:H42 B173:H178 B137:H155 B180:H181 B179 D179:H179 B209:F209 B168:J168 B157:H167 B210:J213 C66:H70 C72:H78 C71:G71 F87:F88 B182:J183">
    <cfRule type="expression" dxfId="190" priority="11">
      <formula>#REF!=#REF!</formula>
    </cfRule>
    <cfRule type="expression" dxfId="189" priority="12">
      <formula>#REF!=#REF!</formula>
    </cfRule>
  </conditionalFormatting>
  <conditionalFormatting sqref="C33:D34 E34 C16:H16 D30:E32 C50:H50 E6:H7 C88:H88 F30:H34">
    <cfRule type="expression" dxfId="188" priority="13">
      <formula>#REF!=#REF!</formula>
    </cfRule>
    <cfRule type="expression" dxfId="187" priority="14">
      <formula>#REF!=#REF!</formula>
    </cfRule>
  </conditionalFormatting>
  <conditionalFormatting sqref="C6:D7">
    <cfRule type="expression" dxfId="186" priority="7">
      <formula>#REF!=#REF!</formula>
    </cfRule>
    <cfRule type="expression" dxfId="185" priority="8">
      <formula>#REF!=#REF!</formula>
    </cfRule>
  </conditionalFormatting>
  <conditionalFormatting sqref="H71:J71">
    <cfRule type="expression" dxfId="184" priority="1">
      <formula>#REF!=#REF!</formula>
    </cfRule>
    <cfRule type="expression" dxfId="183" priority="2">
      <formula>#REF!=#REF!</formula>
    </cfRule>
  </conditionalFormatting>
  <conditionalFormatting sqref="B89:H89">
    <cfRule type="expression" dxfId="182" priority="3">
      <formula>#REF!=#REF!</formula>
    </cfRule>
    <cfRule type="expression" dxfId="181" priority="4">
      <formula>#REF!=#REF!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/>
  </sheetViews>
  <sheetFormatPr baseColWidth="10" defaultRowHeight="15" x14ac:dyDescent="0.25"/>
  <cols>
    <col min="2" max="2" width="16.42578125" customWidth="1"/>
    <col min="3" max="3" width="78.7109375" bestFit="1" customWidth="1"/>
    <col min="4" max="4" width="16.28515625" bestFit="1" customWidth="1"/>
  </cols>
  <sheetData>
    <row r="1" spans="2:8" ht="15.75" thickBot="1" x14ac:dyDescent="0.3"/>
    <row r="2" spans="2:8" ht="19.5" thickBot="1" x14ac:dyDescent="0.35">
      <c r="B2" s="466" t="s">
        <v>320</v>
      </c>
      <c r="C2" s="467"/>
      <c r="D2" s="317">
        <f>+E30+F30+G30+H30</f>
        <v>462600</v>
      </c>
      <c r="E2" s="318"/>
      <c r="F2" s="318"/>
      <c r="G2" s="318"/>
      <c r="H2" s="319"/>
    </row>
    <row r="3" spans="2:8" ht="19.5" thickBot="1" x14ac:dyDescent="0.35">
      <c r="B3" s="340"/>
      <c r="C3" s="340"/>
      <c r="D3" s="341"/>
      <c r="E3" s="342"/>
      <c r="F3" s="342"/>
      <c r="G3" s="342"/>
      <c r="H3" s="342"/>
    </row>
    <row r="4" spans="2:8" ht="18.75" x14ac:dyDescent="0.3">
      <c r="B4" s="468" t="s">
        <v>321</v>
      </c>
      <c r="C4" s="469"/>
      <c r="D4" s="338"/>
      <c r="E4" s="338"/>
      <c r="F4" s="338"/>
      <c r="G4" s="338"/>
      <c r="H4" s="339"/>
    </row>
    <row r="5" spans="2:8" x14ac:dyDescent="0.25">
      <c r="B5" s="320" t="s">
        <v>327</v>
      </c>
      <c r="C5" s="321" t="s">
        <v>290</v>
      </c>
      <c r="D5" s="322" t="s">
        <v>287</v>
      </c>
      <c r="E5" s="323" t="s">
        <v>218</v>
      </c>
      <c r="F5" s="323" t="s">
        <v>219</v>
      </c>
      <c r="G5" s="323" t="s">
        <v>220</v>
      </c>
      <c r="H5" s="324" t="s">
        <v>272</v>
      </c>
    </row>
    <row r="6" spans="2:8" x14ac:dyDescent="0.25">
      <c r="B6" s="316" t="s">
        <v>289</v>
      </c>
      <c r="C6" s="263" t="s">
        <v>68</v>
      </c>
      <c r="D6" s="325"/>
      <c r="E6" s="325">
        <v>5000</v>
      </c>
      <c r="F6" s="325">
        <v>5000</v>
      </c>
      <c r="G6" s="325">
        <v>5000</v>
      </c>
      <c r="H6" s="326">
        <v>5000</v>
      </c>
    </row>
    <row r="7" spans="2:8" x14ac:dyDescent="0.25">
      <c r="B7" s="316" t="s">
        <v>289</v>
      </c>
      <c r="C7" s="263" t="s">
        <v>251</v>
      </c>
      <c r="D7" s="325">
        <v>20000</v>
      </c>
      <c r="E7" s="325">
        <v>18000</v>
      </c>
      <c r="F7" s="325"/>
      <c r="G7" s="325"/>
      <c r="H7" s="326"/>
    </row>
    <row r="8" spans="2:8" x14ac:dyDescent="0.25">
      <c r="B8" s="316" t="s">
        <v>289</v>
      </c>
      <c r="C8" s="263" t="s">
        <v>69</v>
      </c>
      <c r="D8" s="325"/>
      <c r="E8" s="325">
        <v>1500</v>
      </c>
      <c r="F8" s="325">
        <v>1500</v>
      </c>
      <c r="G8" s="325">
        <v>1500</v>
      </c>
      <c r="H8" s="326">
        <v>1500</v>
      </c>
    </row>
    <row r="9" spans="2:8" x14ac:dyDescent="0.25">
      <c r="B9" s="316" t="s">
        <v>289</v>
      </c>
      <c r="C9" s="263" t="s">
        <v>70</v>
      </c>
      <c r="D9" s="325"/>
      <c r="E9" s="325">
        <v>2100</v>
      </c>
      <c r="F9" s="325">
        <v>2100</v>
      </c>
      <c r="G9" s="325">
        <v>2100</v>
      </c>
      <c r="H9" s="326">
        <v>2100</v>
      </c>
    </row>
    <row r="10" spans="2:8" x14ac:dyDescent="0.25">
      <c r="B10" s="316" t="s">
        <v>289</v>
      </c>
      <c r="C10" s="263" t="s">
        <v>71</v>
      </c>
      <c r="D10" s="325"/>
      <c r="E10" s="325">
        <v>10000</v>
      </c>
      <c r="F10" s="325">
        <v>10000</v>
      </c>
      <c r="G10" s="325">
        <v>10000</v>
      </c>
      <c r="H10" s="326">
        <v>10000</v>
      </c>
    </row>
    <row r="11" spans="2:8" x14ac:dyDescent="0.25">
      <c r="B11" s="316" t="s">
        <v>289</v>
      </c>
      <c r="C11" s="263" t="s">
        <v>190</v>
      </c>
      <c r="D11" s="325">
        <v>40000</v>
      </c>
      <c r="E11" s="325">
        <v>10000</v>
      </c>
      <c r="F11" s="325">
        <v>15100</v>
      </c>
      <c r="G11" s="325" t="s">
        <v>239</v>
      </c>
      <c r="H11" s="326" t="s">
        <v>239</v>
      </c>
    </row>
    <row r="12" spans="2:8" x14ac:dyDescent="0.25">
      <c r="B12" s="316" t="s">
        <v>285</v>
      </c>
      <c r="C12" s="263" t="s">
        <v>302</v>
      </c>
      <c r="D12" s="325"/>
      <c r="E12" s="325"/>
      <c r="F12" s="325">
        <v>10000</v>
      </c>
      <c r="G12" s="325"/>
      <c r="H12" s="326"/>
    </row>
    <row r="13" spans="2:8" x14ac:dyDescent="0.25">
      <c r="B13" s="316" t="s">
        <v>285</v>
      </c>
      <c r="C13" s="263" t="s">
        <v>304</v>
      </c>
      <c r="D13" s="325"/>
      <c r="E13" s="325">
        <v>7000</v>
      </c>
      <c r="F13" s="325"/>
      <c r="G13" s="325"/>
      <c r="H13" s="326"/>
    </row>
    <row r="14" spans="2:8" x14ac:dyDescent="0.25">
      <c r="B14" s="316" t="s">
        <v>289</v>
      </c>
      <c r="C14" s="263" t="s">
        <v>73</v>
      </c>
      <c r="D14" s="325"/>
      <c r="E14" s="325">
        <v>2250</v>
      </c>
      <c r="F14" s="325">
        <v>2250</v>
      </c>
      <c r="G14" s="325">
        <v>2250</v>
      </c>
      <c r="H14" s="326">
        <v>2250</v>
      </c>
    </row>
    <row r="15" spans="2:8" x14ac:dyDescent="0.25">
      <c r="B15" s="316" t="s">
        <v>289</v>
      </c>
      <c r="C15" s="263" t="s">
        <v>323</v>
      </c>
      <c r="D15" s="325"/>
      <c r="E15" s="325">
        <v>20000</v>
      </c>
      <c r="F15" s="325">
        <v>20000</v>
      </c>
      <c r="G15" s="325">
        <v>20000</v>
      </c>
      <c r="H15" s="326">
        <v>0</v>
      </c>
    </row>
    <row r="16" spans="2:8" x14ac:dyDescent="0.25">
      <c r="B16" s="316" t="s">
        <v>289</v>
      </c>
      <c r="C16" s="263" t="s">
        <v>74</v>
      </c>
      <c r="D16" s="325"/>
      <c r="E16" s="325">
        <v>15300</v>
      </c>
      <c r="F16" s="325">
        <v>15300</v>
      </c>
      <c r="G16" s="325">
        <v>15300</v>
      </c>
      <c r="H16" s="326">
        <v>15300</v>
      </c>
    </row>
    <row r="17" spans="2:8" x14ac:dyDescent="0.25">
      <c r="B17" s="316" t="s">
        <v>289</v>
      </c>
      <c r="C17" s="263" t="s">
        <v>75</v>
      </c>
      <c r="D17" s="325"/>
      <c r="E17" s="325">
        <v>3500</v>
      </c>
      <c r="F17" s="325">
        <v>3500</v>
      </c>
      <c r="G17" s="325">
        <v>3500</v>
      </c>
      <c r="H17" s="326">
        <v>3500</v>
      </c>
    </row>
    <row r="18" spans="2:8" x14ac:dyDescent="0.25">
      <c r="B18" s="316" t="s">
        <v>289</v>
      </c>
      <c r="C18" s="263" t="s">
        <v>76</v>
      </c>
      <c r="D18" s="325"/>
      <c r="E18" s="325">
        <v>6000</v>
      </c>
      <c r="F18" s="325">
        <v>6000</v>
      </c>
      <c r="G18" s="325">
        <v>6000</v>
      </c>
      <c r="H18" s="326">
        <v>6000</v>
      </c>
    </row>
    <row r="19" spans="2:8" x14ac:dyDescent="0.25">
      <c r="B19" s="316" t="s">
        <v>289</v>
      </c>
      <c r="C19" s="263" t="s">
        <v>79</v>
      </c>
      <c r="D19" s="325"/>
      <c r="E19" s="325">
        <v>6100</v>
      </c>
      <c r="F19" s="325">
        <v>6100</v>
      </c>
      <c r="G19" s="325">
        <v>6100</v>
      </c>
      <c r="H19" s="326">
        <v>6100</v>
      </c>
    </row>
    <row r="20" spans="2:8" x14ac:dyDescent="0.25">
      <c r="B20" s="316" t="s">
        <v>289</v>
      </c>
      <c r="C20" s="263" t="s">
        <v>252</v>
      </c>
      <c r="D20" s="325"/>
      <c r="E20" s="325">
        <v>10500</v>
      </c>
      <c r="F20" s="325"/>
      <c r="G20" s="325"/>
      <c r="H20" s="326"/>
    </row>
    <row r="21" spans="2:8" x14ac:dyDescent="0.25">
      <c r="B21" s="316" t="s">
        <v>289</v>
      </c>
      <c r="C21" s="263" t="s">
        <v>81</v>
      </c>
      <c r="D21" s="325"/>
      <c r="E21" s="325">
        <v>1000</v>
      </c>
      <c r="F21" s="325">
        <v>1000</v>
      </c>
      <c r="G21" s="325">
        <v>1000</v>
      </c>
      <c r="H21" s="326">
        <v>1000</v>
      </c>
    </row>
    <row r="22" spans="2:8" x14ac:dyDescent="0.25">
      <c r="B22" s="316" t="s">
        <v>289</v>
      </c>
      <c r="C22" s="263" t="s">
        <v>82</v>
      </c>
      <c r="D22" s="325"/>
      <c r="E22" s="325">
        <v>10000</v>
      </c>
      <c r="F22" s="325">
        <v>10000</v>
      </c>
      <c r="G22" s="325">
        <v>10000</v>
      </c>
      <c r="H22" s="326">
        <v>10000</v>
      </c>
    </row>
    <row r="23" spans="2:8" x14ac:dyDescent="0.25">
      <c r="B23" s="316" t="s">
        <v>289</v>
      </c>
      <c r="C23" s="263" t="s">
        <v>83</v>
      </c>
      <c r="D23" s="325"/>
      <c r="E23" s="325">
        <v>2000</v>
      </c>
      <c r="F23" s="325">
        <v>2000</v>
      </c>
      <c r="G23" s="325"/>
      <c r="H23" s="326"/>
    </row>
    <row r="24" spans="2:8" x14ac:dyDescent="0.25">
      <c r="B24" s="316" t="s">
        <v>289</v>
      </c>
      <c r="C24" s="263" t="s">
        <v>84</v>
      </c>
      <c r="D24" s="325"/>
      <c r="E24" s="325">
        <v>700</v>
      </c>
      <c r="F24" s="325">
        <v>700</v>
      </c>
      <c r="G24" s="325">
        <v>700</v>
      </c>
      <c r="H24" s="326">
        <v>700</v>
      </c>
    </row>
    <row r="25" spans="2:8" x14ac:dyDescent="0.25">
      <c r="B25" s="316" t="s">
        <v>289</v>
      </c>
      <c r="C25" s="263" t="s">
        <v>87</v>
      </c>
      <c r="D25" s="325"/>
      <c r="E25" s="325">
        <v>6000</v>
      </c>
      <c r="F25" s="325">
        <v>6000</v>
      </c>
      <c r="G25" s="325">
        <v>6000</v>
      </c>
      <c r="H25" s="326">
        <v>6000</v>
      </c>
    </row>
    <row r="26" spans="2:8" x14ac:dyDescent="0.25">
      <c r="B26" s="316" t="s">
        <v>289</v>
      </c>
      <c r="C26" s="263" t="s">
        <v>140</v>
      </c>
      <c r="D26" s="325"/>
      <c r="E26" s="325">
        <v>5700</v>
      </c>
      <c r="F26" s="325"/>
      <c r="G26" s="325"/>
      <c r="H26" s="326"/>
    </row>
    <row r="27" spans="2:8" x14ac:dyDescent="0.25">
      <c r="B27" s="316" t="s">
        <v>289</v>
      </c>
      <c r="C27" s="263" t="s">
        <v>90</v>
      </c>
      <c r="D27" s="325"/>
      <c r="E27" s="325">
        <v>8000</v>
      </c>
      <c r="F27" s="325">
        <v>8000</v>
      </c>
      <c r="G27" s="325">
        <v>8000</v>
      </c>
      <c r="H27" s="326">
        <v>8000</v>
      </c>
    </row>
    <row r="28" spans="2:8" x14ac:dyDescent="0.25">
      <c r="B28" s="316" t="s">
        <v>238</v>
      </c>
      <c r="C28" s="263" t="s">
        <v>298</v>
      </c>
      <c r="D28" s="325"/>
      <c r="E28" s="325">
        <v>500</v>
      </c>
      <c r="F28" s="325">
        <v>1000</v>
      </c>
      <c r="G28" s="325"/>
      <c r="H28" s="326"/>
    </row>
    <row r="29" spans="2:8" ht="15.75" thickBot="1" x14ac:dyDescent="0.3">
      <c r="B29" s="316" t="s">
        <v>285</v>
      </c>
      <c r="C29" s="263" t="s">
        <v>303</v>
      </c>
      <c r="D29" s="325"/>
      <c r="E29" s="325"/>
      <c r="F29" s="325">
        <v>3000</v>
      </c>
      <c r="G29" s="325">
        <v>8000</v>
      </c>
      <c r="H29" s="326"/>
    </row>
    <row r="30" spans="2:8" ht="15.75" thickBot="1" x14ac:dyDescent="0.3">
      <c r="B30" s="308"/>
      <c r="C30" s="309" t="s">
        <v>322</v>
      </c>
      <c r="D30" s="310"/>
      <c r="E30" s="310">
        <f>SUM(E6:E29)</f>
        <v>151150</v>
      </c>
      <c r="F30" s="310">
        <f>SUM(F6:F29)</f>
        <v>128550</v>
      </c>
      <c r="G30" s="310">
        <f>SUM(G6:G29)</f>
        <v>105450</v>
      </c>
      <c r="H30" s="311">
        <f>SUM(H6:H29)</f>
        <v>77450</v>
      </c>
    </row>
  </sheetData>
  <mergeCells count="2">
    <mergeCell ref="B2:C2"/>
    <mergeCell ref="B4:C4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/>
  </sheetViews>
  <sheetFormatPr baseColWidth="10" defaultRowHeight="15" x14ac:dyDescent="0.25"/>
  <cols>
    <col min="1" max="1" width="4.140625" customWidth="1"/>
    <col min="2" max="2" width="17.7109375" bestFit="1" customWidth="1"/>
    <col min="3" max="3" width="79.140625" bestFit="1" customWidth="1"/>
    <col min="4" max="4" width="16.28515625" bestFit="1" customWidth="1"/>
  </cols>
  <sheetData>
    <row r="1" spans="2:8" ht="15.75" thickBot="1" x14ac:dyDescent="0.3"/>
    <row r="2" spans="2:8" ht="19.5" thickBot="1" x14ac:dyDescent="0.35">
      <c r="B2" s="466" t="s">
        <v>324</v>
      </c>
      <c r="C2" s="467"/>
      <c r="D2" s="317">
        <f>+E16+F16+G16+H16+E31+F31+G31+H31+E37+F37+G37+H37</f>
        <v>601050</v>
      </c>
      <c r="E2" s="318"/>
      <c r="F2" s="318"/>
      <c r="G2" s="318"/>
      <c r="H2" s="319"/>
    </row>
    <row r="3" spans="2:8" ht="19.5" thickBot="1" x14ac:dyDescent="0.35">
      <c r="B3" s="340"/>
      <c r="C3" s="340"/>
      <c r="D3" s="341"/>
      <c r="E3" s="342"/>
      <c r="F3" s="342"/>
      <c r="G3" s="342"/>
      <c r="H3" s="342"/>
    </row>
    <row r="4" spans="2:8" ht="18.75" x14ac:dyDescent="0.3">
      <c r="B4" s="468" t="s">
        <v>329</v>
      </c>
      <c r="C4" s="469"/>
      <c r="D4" s="338"/>
      <c r="E4" s="338"/>
      <c r="F4" s="338"/>
      <c r="G4" s="338"/>
      <c r="H4" s="339"/>
    </row>
    <row r="5" spans="2:8" x14ac:dyDescent="0.25">
      <c r="B5" s="320" t="s">
        <v>327</v>
      </c>
      <c r="C5" s="321" t="s">
        <v>290</v>
      </c>
      <c r="D5" s="322" t="s">
        <v>287</v>
      </c>
      <c r="E5" s="323" t="s">
        <v>218</v>
      </c>
      <c r="F5" s="323" t="s">
        <v>219</v>
      </c>
      <c r="G5" s="323" t="s">
        <v>220</v>
      </c>
      <c r="H5" s="324" t="s">
        <v>272</v>
      </c>
    </row>
    <row r="6" spans="2:8" x14ac:dyDescent="0.25">
      <c r="B6" s="316" t="s">
        <v>289</v>
      </c>
      <c r="C6" s="263" t="s">
        <v>43</v>
      </c>
      <c r="D6" s="325"/>
      <c r="E6" s="325">
        <v>600</v>
      </c>
      <c r="F6" s="325">
        <v>600</v>
      </c>
      <c r="G6" s="325">
        <v>600</v>
      </c>
      <c r="H6" s="326">
        <v>600</v>
      </c>
    </row>
    <row r="7" spans="2:8" x14ac:dyDescent="0.25">
      <c r="B7" s="316" t="s">
        <v>289</v>
      </c>
      <c r="C7" s="263" t="s">
        <v>188</v>
      </c>
      <c r="D7" s="325"/>
      <c r="E7" s="325">
        <v>2400</v>
      </c>
      <c r="F7" s="325">
        <v>2500</v>
      </c>
      <c r="G7" s="325">
        <v>2500</v>
      </c>
      <c r="H7" s="326">
        <v>2500</v>
      </c>
    </row>
    <row r="8" spans="2:8" x14ac:dyDescent="0.25">
      <c r="B8" s="316" t="s">
        <v>325</v>
      </c>
      <c r="C8" s="263" t="s">
        <v>44</v>
      </c>
      <c r="D8" s="325"/>
      <c r="E8" s="325">
        <v>32000</v>
      </c>
      <c r="F8" s="325">
        <v>35000</v>
      </c>
      <c r="G8" s="325">
        <v>35000</v>
      </c>
      <c r="H8" s="326">
        <v>35000</v>
      </c>
    </row>
    <row r="9" spans="2:8" x14ac:dyDescent="0.25">
      <c r="B9" s="316" t="s">
        <v>289</v>
      </c>
      <c r="C9" s="263" t="s">
        <v>45</v>
      </c>
      <c r="D9" s="325"/>
      <c r="E9" s="325">
        <v>3000</v>
      </c>
      <c r="F9" s="325">
        <v>3000</v>
      </c>
      <c r="G9" s="325">
        <v>3000</v>
      </c>
      <c r="H9" s="326">
        <v>3000</v>
      </c>
    </row>
    <row r="10" spans="2:8" x14ac:dyDescent="0.25">
      <c r="B10" s="316" t="s">
        <v>289</v>
      </c>
      <c r="C10" s="263" t="s">
        <v>46</v>
      </c>
      <c r="D10" s="325"/>
      <c r="E10" s="325">
        <v>2000</v>
      </c>
      <c r="F10" s="325">
        <v>2000</v>
      </c>
      <c r="G10" s="325">
        <v>2000</v>
      </c>
      <c r="H10" s="326">
        <v>2000</v>
      </c>
    </row>
    <row r="11" spans="2:8" x14ac:dyDescent="0.25">
      <c r="B11" s="316" t="s">
        <v>326</v>
      </c>
      <c r="C11" s="263" t="s">
        <v>47</v>
      </c>
      <c r="D11" s="325">
        <v>25200</v>
      </c>
      <c r="E11" s="325">
        <v>9000</v>
      </c>
      <c r="F11" s="325"/>
      <c r="G11" s="325"/>
      <c r="H11" s="326"/>
    </row>
    <row r="12" spans="2:8" x14ac:dyDescent="0.25">
      <c r="B12" s="316" t="s">
        <v>326</v>
      </c>
      <c r="C12" s="263" t="s">
        <v>48</v>
      </c>
      <c r="D12" s="325"/>
      <c r="E12" s="325">
        <v>15000</v>
      </c>
      <c r="F12" s="325">
        <v>10000</v>
      </c>
      <c r="G12" s="325">
        <v>10000</v>
      </c>
      <c r="H12" s="326">
        <v>10000</v>
      </c>
    </row>
    <row r="13" spans="2:8" x14ac:dyDescent="0.25">
      <c r="B13" s="316" t="s">
        <v>289</v>
      </c>
      <c r="C13" s="263" t="s">
        <v>49</v>
      </c>
      <c r="D13" s="325"/>
      <c r="E13" s="325">
        <v>2000</v>
      </c>
      <c r="F13" s="325">
        <v>2000</v>
      </c>
      <c r="G13" s="325">
        <v>2000</v>
      </c>
      <c r="H13" s="326">
        <v>2000</v>
      </c>
    </row>
    <row r="14" spans="2:8" x14ac:dyDescent="0.25">
      <c r="B14" s="316" t="s">
        <v>289</v>
      </c>
      <c r="C14" s="263" t="s">
        <v>51</v>
      </c>
      <c r="D14" s="325"/>
      <c r="E14" s="325"/>
      <c r="F14" s="325"/>
      <c r="G14" s="325"/>
      <c r="H14" s="326"/>
    </row>
    <row r="15" spans="2:8" ht="15.75" thickBot="1" x14ac:dyDescent="0.3">
      <c r="B15" s="316" t="s">
        <v>289</v>
      </c>
      <c r="C15" s="263" t="s">
        <v>305</v>
      </c>
      <c r="D15" s="325"/>
      <c r="E15" s="325"/>
      <c r="F15" s="325">
        <v>650</v>
      </c>
      <c r="G15" s="325"/>
      <c r="H15" s="326"/>
    </row>
    <row r="16" spans="2:8" ht="15.75" thickBot="1" x14ac:dyDescent="0.3">
      <c r="B16" s="308"/>
      <c r="C16" s="309" t="s">
        <v>330</v>
      </c>
      <c r="D16" s="310"/>
      <c r="E16" s="310">
        <f>SUM(E6:E15)</f>
        <v>66000</v>
      </c>
      <c r="F16" s="310">
        <f>SUM(F6:F15)</f>
        <v>55750</v>
      </c>
      <c r="G16" s="310">
        <f>SUM(G6:G15)</f>
        <v>55100</v>
      </c>
      <c r="H16" s="311">
        <f>SUM(H6:H15)</f>
        <v>55100</v>
      </c>
    </row>
    <row r="17" spans="2:8" ht="15.75" thickBot="1" x14ac:dyDescent="0.3"/>
    <row r="18" spans="2:8" ht="18.75" x14ac:dyDescent="0.3">
      <c r="B18" s="468" t="s">
        <v>328</v>
      </c>
      <c r="C18" s="469"/>
      <c r="D18" s="338"/>
      <c r="E18" s="338"/>
      <c r="F18" s="338"/>
      <c r="G18" s="338"/>
      <c r="H18" s="339"/>
    </row>
    <row r="19" spans="2:8" x14ac:dyDescent="0.25">
      <c r="B19" s="320" t="s">
        <v>327</v>
      </c>
      <c r="C19" s="321" t="s">
        <v>290</v>
      </c>
      <c r="D19" s="322" t="s">
        <v>287</v>
      </c>
      <c r="E19" s="323" t="s">
        <v>218</v>
      </c>
      <c r="F19" s="323" t="s">
        <v>219</v>
      </c>
      <c r="G19" s="323" t="s">
        <v>220</v>
      </c>
      <c r="H19" s="324" t="s">
        <v>272</v>
      </c>
    </row>
    <row r="20" spans="2:8" x14ac:dyDescent="0.25">
      <c r="B20" s="316" t="s">
        <v>326</v>
      </c>
      <c r="C20" s="263" t="s">
        <v>55</v>
      </c>
      <c r="D20" s="325"/>
      <c r="E20" s="325">
        <v>9000</v>
      </c>
      <c r="F20" s="325">
        <v>10000</v>
      </c>
      <c r="G20" s="325">
        <v>10000</v>
      </c>
      <c r="H20" s="326">
        <v>10000</v>
      </c>
    </row>
    <row r="21" spans="2:8" x14ac:dyDescent="0.25">
      <c r="B21" s="316" t="s">
        <v>326</v>
      </c>
      <c r="C21" s="263" t="s">
        <v>56</v>
      </c>
      <c r="D21" s="325"/>
      <c r="E21" s="325">
        <v>40000</v>
      </c>
      <c r="F21" s="325">
        <v>45000</v>
      </c>
      <c r="G21" s="325">
        <v>45000</v>
      </c>
      <c r="H21" s="326">
        <v>45000</v>
      </c>
    </row>
    <row r="22" spans="2:8" x14ac:dyDescent="0.25">
      <c r="B22" s="316" t="s">
        <v>289</v>
      </c>
      <c r="C22" s="263" t="s">
        <v>47</v>
      </c>
      <c r="D22" s="325"/>
      <c r="E22" s="325">
        <v>11800</v>
      </c>
      <c r="F22" s="325"/>
      <c r="G22" s="325"/>
      <c r="H22" s="326"/>
    </row>
    <row r="23" spans="2:8" x14ac:dyDescent="0.25">
      <c r="B23" s="316" t="s">
        <v>326</v>
      </c>
      <c r="C23" s="263" t="s">
        <v>57</v>
      </c>
      <c r="D23" s="325"/>
      <c r="E23" s="325">
        <v>25000</v>
      </c>
      <c r="F23" s="325">
        <v>25000</v>
      </c>
      <c r="G23" s="325">
        <v>20000</v>
      </c>
      <c r="H23" s="326">
        <v>20000</v>
      </c>
    </row>
    <row r="24" spans="2:8" x14ac:dyDescent="0.25">
      <c r="B24" s="316" t="s">
        <v>289</v>
      </c>
      <c r="C24" s="263" t="s">
        <v>46</v>
      </c>
      <c r="D24" s="325"/>
      <c r="E24" s="325">
        <v>5000</v>
      </c>
      <c r="F24" s="325">
        <v>5000</v>
      </c>
      <c r="G24" s="325">
        <v>5000</v>
      </c>
      <c r="H24" s="326">
        <v>5000</v>
      </c>
    </row>
    <row r="25" spans="2:8" x14ac:dyDescent="0.25">
      <c r="B25" s="316" t="s">
        <v>289</v>
      </c>
      <c r="C25" s="263" t="s">
        <v>49</v>
      </c>
      <c r="D25" s="325"/>
      <c r="E25" s="325">
        <v>2500</v>
      </c>
      <c r="F25" s="325">
        <v>2500</v>
      </c>
      <c r="G25" s="325">
        <v>2500</v>
      </c>
      <c r="H25" s="326">
        <v>2500</v>
      </c>
    </row>
    <row r="26" spans="2:8" x14ac:dyDescent="0.25">
      <c r="B26" s="316" t="s">
        <v>289</v>
      </c>
      <c r="C26" s="263" t="s">
        <v>58</v>
      </c>
      <c r="D26" s="325"/>
      <c r="E26" s="325"/>
      <c r="F26" s="325"/>
      <c r="G26" s="325"/>
      <c r="H26" s="326"/>
    </row>
    <row r="27" spans="2:8" x14ac:dyDescent="0.25">
      <c r="B27" s="316" t="s">
        <v>289</v>
      </c>
      <c r="C27" s="263" t="s">
        <v>306</v>
      </c>
      <c r="D27" s="325"/>
      <c r="E27" s="325"/>
      <c r="F27" s="325">
        <v>1300</v>
      </c>
      <c r="G27" s="325"/>
      <c r="H27" s="326"/>
    </row>
    <row r="28" spans="2:8" x14ac:dyDescent="0.25">
      <c r="B28" s="316" t="s">
        <v>289</v>
      </c>
      <c r="C28" s="263" t="s">
        <v>307</v>
      </c>
      <c r="D28" s="325"/>
      <c r="E28" s="325"/>
      <c r="F28" s="325">
        <v>1500</v>
      </c>
      <c r="G28" s="325"/>
      <c r="H28" s="326"/>
    </row>
    <row r="29" spans="2:8" x14ac:dyDescent="0.25">
      <c r="B29" s="316" t="s">
        <v>289</v>
      </c>
      <c r="C29" s="263" t="s">
        <v>308</v>
      </c>
      <c r="D29" s="325"/>
      <c r="E29" s="325"/>
      <c r="F29" s="325"/>
      <c r="G29" s="325">
        <v>2500</v>
      </c>
      <c r="H29" s="326"/>
    </row>
    <row r="30" spans="2:8" ht="15.75" thickBot="1" x14ac:dyDescent="0.3">
      <c r="B30" s="316" t="s">
        <v>289</v>
      </c>
      <c r="C30" s="263" t="s">
        <v>309</v>
      </c>
      <c r="D30" s="325"/>
      <c r="E30" s="325"/>
      <c r="F30" s="325"/>
      <c r="G30" s="325"/>
      <c r="H30" s="326">
        <v>3500</v>
      </c>
    </row>
    <row r="31" spans="2:8" ht="15.75" thickBot="1" x14ac:dyDescent="0.3">
      <c r="B31" s="308"/>
      <c r="C31" s="309" t="s">
        <v>331</v>
      </c>
      <c r="D31" s="310"/>
      <c r="E31" s="310">
        <f>SUM(E20:E30)</f>
        <v>93300</v>
      </c>
      <c r="F31" s="310">
        <f>SUM(F20:F30)</f>
        <v>90300</v>
      </c>
      <c r="G31" s="310">
        <f>SUM(G20:G30)</f>
        <v>85000</v>
      </c>
      <c r="H31" s="311">
        <f>SUM(H20:H30)</f>
        <v>86000</v>
      </c>
    </row>
    <row r="32" spans="2:8" ht="15.75" thickBot="1" x14ac:dyDescent="0.3"/>
    <row r="33" spans="2:8" ht="18.75" x14ac:dyDescent="0.3">
      <c r="B33" s="468" t="s">
        <v>333</v>
      </c>
      <c r="C33" s="469"/>
      <c r="D33" s="338"/>
      <c r="E33" s="338"/>
      <c r="F33" s="338"/>
      <c r="G33" s="338"/>
      <c r="H33" s="339"/>
    </row>
    <row r="34" spans="2:8" x14ac:dyDescent="0.25">
      <c r="B34" s="320" t="s">
        <v>327</v>
      </c>
      <c r="C34" s="321" t="s">
        <v>290</v>
      </c>
      <c r="D34" s="322" t="s">
        <v>287</v>
      </c>
      <c r="E34" s="323" t="s">
        <v>218</v>
      </c>
      <c r="F34" s="323" t="s">
        <v>219</v>
      </c>
      <c r="G34" s="323" t="s">
        <v>220</v>
      </c>
      <c r="H34" s="324" t="s">
        <v>272</v>
      </c>
    </row>
    <row r="35" spans="2:8" x14ac:dyDescent="0.25">
      <c r="B35" s="316" t="s">
        <v>289</v>
      </c>
      <c r="C35" s="263" t="s">
        <v>62</v>
      </c>
      <c r="D35" s="325"/>
      <c r="E35" s="325">
        <v>2000</v>
      </c>
      <c r="F35" s="325">
        <v>1500</v>
      </c>
      <c r="G35" s="325">
        <v>1500</v>
      </c>
      <c r="H35" s="326">
        <v>1500</v>
      </c>
    </row>
    <row r="36" spans="2:8" ht="15.75" thickBot="1" x14ac:dyDescent="0.3">
      <c r="B36" s="316" t="s">
        <v>289</v>
      </c>
      <c r="C36" s="263" t="s">
        <v>63</v>
      </c>
      <c r="D36" s="325"/>
      <c r="E36" s="325">
        <v>2000</v>
      </c>
      <c r="F36" s="325">
        <v>2000</v>
      </c>
      <c r="G36" s="325">
        <v>2000</v>
      </c>
      <c r="H36" s="326">
        <v>2000</v>
      </c>
    </row>
    <row r="37" spans="2:8" ht="15.75" thickBot="1" x14ac:dyDescent="0.3">
      <c r="B37" s="308"/>
      <c r="C37" s="309" t="s">
        <v>334</v>
      </c>
      <c r="D37" s="310"/>
      <c r="E37" s="310">
        <f>SUM(E35:E36)</f>
        <v>4000</v>
      </c>
      <c r="F37" s="310">
        <f>SUM(F35:F36)</f>
        <v>3500</v>
      </c>
      <c r="G37" s="310">
        <f>SUM(G35:G36)</f>
        <v>3500</v>
      </c>
      <c r="H37" s="311">
        <f>SUM(H35:H36)</f>
        <v>3500</v>
      </c>
    </row>
  </sheetData>
  <mergeCells count="4">
    <mergeCell ref="B2:C2"/>
    <mergeCell ref="B4:C4"/>
    <mergeCell ref="B18:C18"/>
    <mergeCell ref="B33:C33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/>
  </sheetViews>
  <sheetFormatPr baseColWidth="10" defaultRowHeight="15" x14ac:dyDescent="0.25"/>
  <cols>
    <col min="1" max="1" width="3.5703125" customWidth="1"/>
    <col min="2" max="2" width="18.85546875" bestFit="1" customWidth="1"/>
    <col min="3" max="3" width="59.7109375" bestFit="1" customWidth="1"/>
    <col min="4" max="4" width="16.28515625" bestFit="1" customWidth="1"/>
    <col min="5" max="8" width="7.28515625" customWidth="1"/>
  </cols>
  <sheetData>
    <row r="1" spans="2:8" ht="15.75" thickBot="1" x14ac:dyDescent="0.3"/>
    <row r="2" spans="2:8" ht="19.5" thickBot="1" x14ac:dyDescent="0.35">
      <c r="B2" s="466" t="s">
        <v>338</v>
      </c>
      <c r="C2" s="467"/>
      <c r="D2" s="317">
        <f>+E13+F13+G13+H13+E28+F28+G28+H28+E34+F34+G34+H34</f>
        <v>238300</v>
      </c>
      <c r="E2" s="318"/>
      <c r="F2" s="318"/>
      <c r="G2" s="318"/>
      <c r="H2" s="319"/>
    </row>
    <row r="3" spans="2:8" ht="19.5" thickBot="1" x14ac:dyDescent="0.35">
      <c r="B3" s="340"/>
      <c r="C3" s="340"/>
      <c r="D3" s="341"/>
      <c r="E3" s="342"/>
      <c r="F3" s="342"/>
      <c r="G3" s="342"/>
      <c r="H3" s="342"/>
    </row>
    <row r="4" spans="2:8" ht="18.75" x14ac:dyDescent="0.3">
      <c r="B4" s="468" t="s">
        <v>339</v>
      </c>
      <c r="C4" s="469"/>
      <c r="D4" s="338"/>
      <c r="E4" s="338"/>
      <c r="F4" s="338"/>
      <c r="G4" s="338"/>
      <c r="H4" s="339"/>
    </row>
    <row r="5" spans="2:8" x14ac:dyDescent="0.25">
      <c r="B5" s="320" t="s">
        <v>327</v>
      </c>
      <c r="C5" s="321" t="s">
        <v>290</v>
      </c>
      <c r="D5" s="322" t="s">
        <v>287</v>
      </c>
      <c r="E5" s="323" t="s">
        <v>218</v>
      </c>
      <c r="F5" s="323" t="s">
        <v>219</v>
      </c>
      <c r="G5" s="323" t="s">
        <v>220</v>
      </c>
      <c r="H5" s="324" t="s">
        <v>272</v>
      </c>
    </row>
    <row r="6" spans="2:8" x14ac:dyDescent="0.25">
      <c r="B6" s="316" t="s">
        <v>341</v>
      </c>
      <c r="C6" s="263" t="s">
        <v>100</v>
      </c>
      <c r="D6" s="325">
        <v>305000</v>
      </c>
      <c r="E6" s="325">
        <v>20000</v>
      </c>
      <c r="F6" s="325">
        <v>60000</v>
      </c>
      <c r="G6" s="325">
        <v>60000</v>
      </c>
      <c r="H6" s="326">
        <v>20000</v>
      </c>
    </row>
    <row r="7" spans="2:8" x14ac:dyDescent="0.25">
      <c r="B7" s="316" t="s">
        <v>289</v>
      </c>
      <c r="C7" s="263" t="s">
        <v>193</v>
      </c>
      <c r="D7" s="325">
        <v>30000</v>
      </c>
      <c r="E7" s="325">
        <v>8000</v>
      </c>
      <c r="F7" s="325"/>
      <c r="G7" s="325"/>
      <c r="H7" s="326"/>
    </row>
    <row r="8" spans="2:8" x14ac:dyDescent="0.25">
      <c r="B8" s="316" t="s">
        <v>289</v>
      </c>
      <c r="C8" s="263" t="s">
        <v>101</v>
      </c>
      <c r="D8" s="325">
        <v>7000</v>
      </c>
      <c r="E8" s="325">
        <v>2000</v>
      </c>
      <c r="F8" s="325">
        <v>5000</v>
      </c>
      <c r="G8" s="325"/>
      <c r="H8" s="326"/>
    </row>
    <row r="9" spans="2:8" x14ac:dyDescent="0.25">
      <c r="B9" s="316" t="s">
        <v>289</v>
      </c>
      <c r="C9" s="263" t="s">
        <v>243</v>
      </c>
      <c r="D9" s="325">
        <v>1100</v>
      </c>
      <c r="E9" s="325">
        <v>700</v>
      </c>
      <c r="F9" s="325"/>
      <c r="G9" s="325"/>
      <c r="H9" s="326"/>
    </row>
    <row r="10" spans="2:8" x14ac:dyDescent="0.25">
      <c r="B10" s="316" t="s">
        <v>289</v>
      </c>
      <c r="C10" s="263" t="s">
        <v>102</v>
      </c>
      <c r="D10" s="325">
        <v>25000</v>
      </c>
      <c r="E10" s="325">
        <v>3000</v>
      </c>
      <c r="F10" s="325">
        <v>18000</v>
      </c>
      <c r="G10" s="325">
        <v>4000</v>
      </c>
      <c r="H10" s="326">
        <v>0</v>
      </c>
    </row>
    <row r="11" spans="2:8" x14ac:dyDescent="0.25">
      <c r="B11" s="316" t="s">
        <v>289</v>
      </c>
      <c r="C11" s="263" t="s">
        <v>253</v>
      </c>
      <c r="D11" s="325">
        <v>37000</v>
      </c>
      <c r="E11" s="325"/>
      <c r="F11" s="325">
        <v>2000</v>
      </c>
      <c r="G11" s="325">
        <v>12000</v>
      </c>
      <c r="H11" s="326">
        <v>23000</v>
      </c>
    </row>
    <row r="12" spans="2:8" ht="15.75" thickBot="1" x14ac:dyDescent="0.3">
      <c r="B12" s="316" t="s">
        <v>289</v>
      </c>
      <c r="C12" s="263" t="s">
        <v>103</v>
      </c>
      <c r="D12" s="325"/>
      <c r="E12" s="325">
        <v>600</v>
      </c>
      <c r="F12" s="325"/>
      <c r="G12" s="325"/>
      <c r="H12" s="326"/>
    </row>
    <row r="13" spans="2:8" ht="15.75" thickBot="1" x14ac:dyDescent="0.3">
      <c r="B13" s="308"/>
      <c r="C13" s="309" t="s">
        <v>340</v>
      </c>
      <c r="D13" s="310"/>
      <c r="E13" s="310">
        <f>SUM(E6:E12)</f>
        <v>34300</v>
      </c>
      <c r="F13" s="310">
        <f>SUM(F6:F12)</f>
        <v>85000</v>
      </c>
      <c r="G13" s="310">
        <f>SUM(G6:G12)</f>
        <v>76000</v>
      </c>
      <c r="H13" s="311">
        <f>SUM(H6:H12)</f>
        <v>43000</v>
      </c>
    </row>
  </sheetData>
  <mergeCells count="2">
    <mergeCell ref="B2:C2"/>
    <mergeCell ref="B4:C4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/>
  </sheetViews>
  <sheetFormatPr baseColWidth="10" defaultRowHeight="15" x14ac:dyDescent="0.25"/>
  <cols>
    <col min="1" max="1" width="2.85546875" customWidth="1"/>
    <col min="2" max="2" width="11.5703125" customWidth="1"/>
    <col min="3" max="3" width="79.28515625" style="216" customWidth="1"/>
    <col min="4" max="4" width="17" customWidth="1"/>
    <col min="5" max="5" width="13.85546875" customWidth="1"/>
    <col min="6" max="6" width="12.42578125" customWidth="1"/>
    <col min="10" max="10" width="12.28515625" bestFit="1" customWidth="1"/>
  </cols>
  <sheetData>
    <row r="1" spans="2:11" ht="15.75" thickBot="1" x14ac:dyDescent="0.3">
      <c r="C1" s="216" t="s">
        <v>278</v>
      </c>
    </row>
    <row r="2" spans="2:11" s="283" customFormat="1" ht="60.75" customHeight="1" thickBot="1" x14ac:dyDescent="0.3">
      <c r="B2" s="284" t="s">
        <v>271</v>
      </c>
      <c r="C2" s="285" t="s">
        <v>255</v>
      </c>
      <c r="D2" s="286" t="s">
        <v>130</v>
      </c>
      <c r="E2" s="286" t="s">
        <v>240</v>
      </c>
      <c r="F2" s="287" t="s">
        <v>254</v>
      </c>
      <c r="G2" s="304" t="s">
        <v>266</v>
      </c>
      <c r="H2" s="304" t="s">
        <v>267</v>
      </c>
      <c r="I2" s="304" t="s">
        <v>268</v>
      </c>
      <c r="J2" s="314" t="s">
        <v>269</v>
      </c>
    </row>
    <row r="3" spans="2:11" x14ac:dyDescent="0.25">
      <c r="B3" s="288"/>
      <c r="C3" s="33" t="s">
        <v>277</v>
      </c>
      <c r="D3" s="34"/>
      <c r="E3" s="34"/>
      <c r="F3" s="271"/>
      <c r="G3" s="34"/>
      <c r="H3" s="35"/>
      <c r="I3" s="35"/>
      <c r="J3" s="13"/>
      <c r="K3" s="215"/>
    </row>
    <row r="4" spans="2:11" x14ac:dyDescent="0.25">
      <c r="B4" s="289" t="s">
        <v>259</v>
      </c>
      <c r="C4" s="278" t="s">
        <v>231</v>
      </c>
      <c r="D4" s="211">
        <v>64000</v>
      </c>
      <c r="E4" s="211"/>
      <c r="F4" s="271"/>
      <c r="G4" s="211"/>
      <c r="H4" s="212"/>
      <c r="I4" s="212">
        <v>2000</v>
      </c>
      <c r="J4" s="13">
        <v>20000</v>
      </c>
      <c r="K4" s="215"/>
    </row>
    <row r="5" spans="2:11" ht="30" x14ac:dyDescent="0.25">
      <c r="B5" s="289" t="s">
        <v>260</v>
      </c>
      <c r="C5" s="278" t="s">
        <v>232</v>
      </c>
      <c r="D5" s="211">
        <v>80000</v>
      </c>
      <c r="E5" s="211"/>
      <c r="F5" s="271"/>
      <c r="G5" s="211">
        <v>2000</v>
      </c>
      <c r="H5" s="212">
        <v>45000</v>
      </c>
      <c r="I5" s="212">
        <v>30000</v>
      </c>
      <c r="J5" s="13">
        <v>3000</v>
      </c>
      <c r="K5" s="215"/>
    </row>
    <row r="6" spans="2:11" x14ac:dyDescent="0.25">
      <c r="B6" s="289" t="s">
        <v>270</v>
      </c>
      <c r="C6" s="280" t="s">
        <v>233</v>
      </c>
      <c r="D6" s="255">
        <v>20000</v>
      </c>
      <c r="E6" s="255"/>
      <c r="F6" s="281">
        <v>10000</v>
      </c>
      <c r="G6" s="255">
        <v>10000</v>
      </c>
      <c r="H6" s="256">
        <v>0</v>
      </c>
      <c r="I6" s="256">
        <v>0</v>
      </c>
      <c r="J6" s="232">
        <v>0</v>
      </c>
      <c r="K6" s="215"/>
    </row>
    <row r="7" spans="2:11" s="253" customFormat="1" x14ac:dyDescent="0.25">
      <c r="B7" s="289" t="s">
        <v>261</v>
      </c>
      <c r="C7" s="278" t="s">
        <v>22</v>
      </c>
      <c r="D7" s="213"/>
      <c r="E7" s="211"/>
      <c r="F7" s="271">
        <v>1000</v>
      </c>
      <c r="G7" s="213">
        <v>1000</v>
      </c>
      <c r="H7" s="213">
        <v>1000</v>
      </c>
      <c r="I7" s="213">
        <v>1000</v>
      </c>
      <c r="J7" s="24">
        <v>1000</v>
      </c>
      <c r="K7" s="252"/>
    </row>
    <row r="8" spans="2:11" x14ac:dyDescent="0.25">
      <c r="B8" s="289" t="s">
        <v>262</v>
      </c>
      <c r="C8" s="278" t="s">
        <v>234</v>
      </c>
      <c r="D8" s="213"/>
      <c r="E8" s="211"/>
      <c r="F8" s="271">
        <v>1000</v>
      </c>
      <c r="G8" s="213">
        <v>1000</v>
      </c>
      <c r="H8" s="213">
        <v>1000</v>
      </c>
      <c r="I8" s="213">
        <v>1000</v>
      </c>
      <c r="J8" s="24">
        <v>1000</v>
      </c>
      <c r="K8" s="215"/>
    </row>
    <row r="9" spans="2:11" x14ac:dyDescent="0.25">
      <c r="B9" s="289" t="s">
        <v>263</v>
      </c>
      <c r="C9" s="278" t="s">
        <v>235</v>
      </c>
      <c r="D9" s="211"/>
      <c r="E9" s="211"/>
      <c r="F9" s="271">
        <v>15000</v>
      </c>
      <c r="G9" s="211">
        <v>30000</v>
      </c>
      <c r="H9" s="212">
        <v>30000</v>
      </c>
      <c r="I9" s="212">
        <v>30000</v>
      </c>
      <c r="J9" s="13">
        <v>30000</v>
      </c>
      <c r="K9" s="215"/>
    </row>
    <row r="10" spans="2:11" x14ac:dyDescent="0.25">
      <c r="B10" s="290" t="s">
        <v>264</v>
      </c>
      <c r="C10" s="282" t="s">
        <v>295</v>
      </c>
      <c r="D10" s="217">
        <v>30000</v>
      </c>
      <c r="E10" s="217"/>
      <c r="F10" s="271"/>
      <c r="G10" s="217"/>
      <c r="H10" s="218">
        <v>5000</v>
      </c>
      <c r="I10" s="218">
        <v>10000</v>
      </c>
      <c r="J10" s="219">
        <v>15000</v>
      </c>
      <c r="K10" s="215"/>
    </row>
    <row r="11" spans="2:11" s="265" customFormat="1" x14ac:dyDescent="0.25">
      <c r="B11" s="290" t="s">
        <v>265</v>
      </c>
      <c r="C11" s="282" t="s">
        <v>294</v>
      </c>
      <c r="D11" s="217">
        <v>35000</v>
      </c>
      <c r="E11" s="217"/>
      <c r="F11" s="271"/>
      <c r="G11" s="217">
        <v>5000</v>
      </c>
      <c r="H11" s="218">
        <v>15000</v>
      </c>
      <c r="I11" s="218">
        <v>15000</v>
      </c>
      <c r="J11" s="219">
        <v>0</v>
      </c>
      <c r="K11" s="264"/>
    </row>
    <row r="12" spans="2:11" s="270" customFormat="1" ht="26.25" customHeight="1" thickBot="1" x14ac:dyDescent="0.3">
      <c r="B12" s="266"/>
      <c r="C12" s="279" t="s">
        <v>23</v>
      </c>
      <c r="D12" s="267">
        <f>SUM(D4:D11)</f>
        <v>229000</v>
      </c>
      <c r="E12" s="267"/>
      <c r="F12" s="272">
        <f>SUM(F4:F11)</f>
        <v>27000</v>
      </c>
      <c r="G12" s="268">
        <f>SUM(G4:G11)</f>
        <v>49000</v>
      </c>
      <c r="H12" s="268">
        <f>SUM(H4:H11)</f>
        <v>97000</v>
      </c>
      <c r="I12" s="268">
        <f>SUM(I4:I11)</f>
        <v>89000</v>
      </c>
      <c r="J12" s="277">
        <f>SUM(J4:J11)</f>
        <v>70000</v>
      </c>
      <c r="K12" s="269"/>
    </row>
    <row r="13" spans="2:11" x14ac:dyDescent="0.25">
      <c r="C13"/>
    </row>
    <row r="14" spans="2:11" x14ac:dyDescent="0.25">
      <c r="C14"/>
    </row>
    <row r="15" spans="2:11" x14ac:dyDescent="0.25">
      <c r="K15" s="215"/>
    </row>
    <row r="16" spans="2:11" x14ac:dyDescent="0.25">
      <c r="K16" s="215"/>
    </row>
    <row r="17" spans="3:11" x14ac:dyDescent="0.25">
      <c r="K17" s="215"/>
    </row>
    <row r="18" spans="3:11" x14ac:dyDescent="0.25">
      <c r="K18" s="215"/>
    </row>
    <row r="19" spans="3:11" x14ac:dyDescent="0.25">
      <c r="K19" s="215"/>
    </row>
    <row r="20" spans="3:11" x14ac:dyDescent="0.25">
      <c r="K20" s="215"/>
    </row>
    <row r="21" spans="3:11" x14ac:dyDescent="0.25">
      <c r="K21" s="215"/>
    </row>
    <row r="22" spans="3:11" x14ac:dyDescent="0.25">
      <c r="C22" s="262"/>
      <c r="D22" s="263"/>
      <c r="E22" s="263"/>
      <c r="F22" s="263"/>
      <c r="G22" s="263"/>
      <c r="H22" s="263"/>
      <c r="I22" s="263"/>
      <c r="J22" s="263"/>
    </row>
  </sheetData>
  <conditionalFormatting sqref="C7:I8 C6:G6 C3:G4 C12:J12 C9:D11 F9:G11">
    <cfRule type="expression" dxfId="55" priority="11">
      <formula>#REF!=#REF!</formula>
    </cfRule>
    <cfRule type="expression" dxfId="54" priority="12">
      <formula>#REF!=#REF!</formula>
    </cfRule>
  </conditionalFormatting>
  <conditionalFormatting sqref="C5:G5">
    <cfRule type="expression" dxfId="53" priority="13">
      <formula>#REF!=#REF!</formula>
    </cfRule>
    <cfRule type="expression" dxfId="52" priority="14">
      <formula>#REF!=#REF!</formula>
    </cfRule>
  </conditionalFormatting>
  <conditionalFormatting sqref="J7:J8">
    <cfRule type="expression" dxfId="51" priority="9">
      <formula>#REF!=#REF!</formula>
    </cfRule>
    <cfRule type="expression" dxfId="50" priority="10">
      <formula>#REF!=#REF!</formula>
    </cfRule>
  </conditionalFormatting>
  <conditionalFormatting sqref="B3:B4 B12 B6 B8 B10">
    <cfRule type="expression" dxfId="49" priority="5">
      <formula>#REF!=#REF!</formula>
    </cfRule>
    <cfRule type="expression" dxfId="48" priority="6">
      <formula>#REF!=#REF!</formula>
    </cfRule>
  </conditionalFormatting>
  <conditionalFormatting sqref="B5 B7 B9 B11">
    <cfRule type="expression" dxfId="47" priority="7">
      <formula>#REF!=#REF!</formula>
    </cfRule>
    <cfRule type="expression" dxfId="46" priority="8">
      <formula>#REF!=#REF!</formula>
    </cfRule>
  </conditionalFormatting>
  <conditionalFormatting sqref="C2:J2">
    <cfRule type="expression" dxfId="45" priority="3">
      <formula>#REF!=#REF!</formula>
    </cfRule>
    <cfRule type="expression" dxfId="44" priority="4">
      <formula>#REF!=#REF!</formula>
    </cfRule>
  </conditionalFormatting>
  <conditionalFormatting sqref="B2">
    <cfRule type="expression" dxfId="43" priority="1">
      <formula>#REF!=#REF!</formula>
    </cfRule>
    <cfRule type="expression" dxfId="42" priority="2">
      <formula>#REF!=#REF!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baseColWidth="10" defaultRowHeight="15" x14ac:dyDescent="0.25"/>
  <cols>
    <col min="1" max="1" width="10" customWidth="1"/>
    <col min="2" max="2" width="66" customWidth="1"/>
    <col min="3" max="3" width="14.7109375" customWidth="1"/>
    <col min="4" max="4" width="14.42578125" customWidth="1"/>
    <col min="5" max="5" width="9.140625" customWidth="1"/>
    <col min="6" max="8" width="8.85546875" bestFit="1" customWidth="1"/>
  </cols>
  <sheetData>
    <row r="1" spans="1:9" x14ac:dyDescent="0.25">
      <c r="B1" t="s">
        <v>225</v>
      </c>
    </row>
    <row r="2" spans="1:9" s="299" customFormat="1" ht="46.5" customHeight="1" x14ac:dyDescent="0.25">
      <c r="A2" s="297" t="s">
        <v>271</v>
      </c>
      <c r="B2" s="293" t="s">
        <v>256</v>
      </c>
      <c r="C2" s="294" t="s">
        <v>130</v>
      </c>
      <c r="D2" s="294" t="s">
        <v>240</v>
      </c>
      <c r="E2" s="295" t="s">
        <v>254</v>
      </c>
      <c r="F2" s="296" t="s">
        <v>218</v>
      </c>
      <c r="G2" s="298" t="s">
        <v>219</v>
      </c>
      <c r="H2" s="298" t="s">
        <v>220</v>
      </c>
      <c r="I2" s="293" t="s">
        <v>272</v>
      </c>
    </row>
    <row r="3" spans="1:9" x14ac:dyDescent="0.25">
      <c r="A3" s="292"/>
      <c r="B3" s="33" t="s">
        <v>35</v>
      </c>
      <c r="C3" s="34"/>
      <c r="D3" s="34"/>
      <c r="E3" s="271"/>
      <c r="F3" s="34"/>
      <c r="G3" s="35"/>
      <c r="H3" s="35"/>
      <c r="I3" s="218"/>
    </row>
    <row r="4" spans="1:9" x14ac:dyDescent="0.25">
      <c r="A4" s="292">
        <v>1</v>
      </c>
      <c r="B4" s="10" t="s">
        <v>236</v>
      </c>
      <c r="C4" s="11"/>
      <c r="D4" s="11"/>
      <c r="E4" s="271">
        <v>40000</v>
      </c>
      <c r="F4" s="11">
        <v>30000</v>
      </c>
      <c r="G4" s="11">
        <v>30000</v>
      </c>
      <c r="H4" s="12">
        <v>30000</v>
      </c>
      <c r="I4" s="218">
        <v>30000</v>
      </c>
    </row>
    <row r="5" spans="1:9" x14ac:dyDescent="0.25">
      <c r="A5" s="292">
        <v>2</v>
      </c>
      <c r="B5" s="10" t="s">
        <v>273</v>
      </c>
      <c r="C5" s="11"/>
      <c r="D5" s="11"/>
      <c r="E5" s="271">
        <v>17000</v>
      </c>
      <c r="F5" s="11">
        <v>20000</v>
      </c>
      <c r="G5" s="11">
        <v>20000</v>
      </c>
      <c r="H5" s="11">
        <v>20000</v>
      </c>
      <c r="I5" s="217">
        <v>20000</v>
      </c>
    </row>
    <row r="6" spans="1:9" x14ac:dyDescent="0.25">
      <c r="A6" s="292">
        <v>3</v>
      </c>
      <c r="B6" s="10" t="s">
        <v>237</v>
      </c>
      <c r="C6" s="11"/>
      <c r="D6" s="11"/>
      <c r="E6" s="271">
        <v>20000</v>
      </c>
      <c r="F6" s="11">
        <v>20000</v>
      </c>
      <c r="G6" s="11">
        <v>20000</v>
      </c>
      <c r="H6" s="11">
        <v>20000</v>
      </c>
      <c r="I6" s="217">
        <v>20000</v>
      </c>
    </row>
    <row r="7" spans="1:9" s="301" customFormat="1" x14ac:dyDescent="0.25">
      <c r="A7" s="43">
        <v>4</v>
      </c>
      <c r="B7" s="10" t="s">
        <v>274</v>
      </c>
      <c r="C7" s="11"/>
      <c r="D7" s="11"/>
      <c r="E7" s="271">
        <v>85000</v>
      </c>
      <c r="F7" s="11">
        <v>100000</v>
      </c>
      <c r="G7" s="11">
        <v>100000</v>
      </c>
      <c r="H7" s="11">
        <v>100000</v>
      </c>
      <c r="I7" s="217">
        <v>100000</v>
      </c>
    </row>
    <row r="8" spans="1:9" x14ac:dyDescent="0.25">
      <c r="A8" s="292">
        <v>5</v>
      </c>
      <c r="B8" s="10" t="s">
        <v>275</v>
      </c>
      <c r="C8" s="11">
        <v>200000</v>
      </c>
      <c r="D8" s="11"/>
      <c r="E8" s="271"/>
      <c r="F8" s="11"/>
      <c r="G8" s="11">
        <v>2000</v>
      </c>
      <c r="H8" s="11">
        <v>20000</v>
      </c>
      <c r="I8" s="291">
        <v>20000</v>
      </c>
    </row>
    <row r="9" spans="1:9" x14ac:dyDescent="0.25">
      <c r="A9" s="302"/>
      <c r="B9" s="261" t="s">
        <v>276</v>
      </c>
      <c r="C9" s="260"/>
      <c r="D9" s="260"/>
      <c r="E9" s="303">
        <f>SUBTOTAL(109,E3:E8)</f>
        <v>162000</v>
      </c>
      <c r="F9" s="303">
        <f>SUBTOTAL(109,F3:F8)</f>
        <v>170000</v>
      </c>
      <c r="G9" s="303">
        <f>SUBTOTAL(109,G3:G8)</f>
        <v>172000</v>
      </c>
      <c r="H9" s="303">
        <f>SUBTOTAL(109,H3:H8)</f>
        <v>190000</v>
      </c>
      <c r="I9" s="303">
        <f>SUBTOTAL(109,I3:I8)</f>
        <v>190000</v>
      </c>
    </row>
    <row r="12" spans="1:9" x14ac:dyDescent="0.25">
      <c r="C12" s="300"/>
      <c r="D12" s="300"/>
      <c r="E12" s="300"/>
      <c r="F12" s="300"/>
    </row>
    <row r="13" spans="1:9" x14ac:dyDescent="0.25">
      <c r="D13" s="300"/>
      <c r="E13" s="300"/>
      <c r="F13" s="300"/>
      <c r="G13" s="300"/>
    </row>
    <row r="14" spans="1:9" x14ac:dyDescent="0.25">
      <c r="D14" s="300"/>
      <c r="E14" s="300"/>
      <c r="F14" s="300"/>
      <c r="G14" s="300"/>
    </row>
    <row r="15" spans="1:9" x14ac:dyDescent="0.25">
      <c r="D15" s="300"/>
      <c r="E15" s="300"/>
      <c r="F15" s="300"/>
      <c r="G15" s="300"/>
    </row>
    <row r="16" spans="1:9" x14ac:dyDescent="0.25">
      <c r="C16" s="300"/>
      <c r="F16" s="300"/>
      <c r="G16" s="300"/>
    </row>
    <row r="17" spans="3:7" x14ac:dyDescent="0.25">
      <c r="D17" s="300"/>
      <c r="E17" s="300"/>
      <c r="F17" s="300"/>
      <c r="G17" s="300"/>
    </row>
    <row r="23" spans="3:7" x14ac:dyDescent="0.25">
      <c r="D23" s="300"/>
      <c r="E23" s="300"/>
      <c r="F23" s="300"/>
      <c r="G23" s="300"/>
    </row>
    <row r="24" spans="3:7" x14ac:dyDescent="0.25">
      <c r="D24" s="300"/>
      <c r="E24" s="300"/>
      <c r="F24" s="300"/>
      <c r="G24" s="300"/>
    </row>
    <row r="25" spans="3:7" x14ac:dyDescent="0.25">
      <c r="D25" s="300"/>
      <c r="E25" s="300"/>
      <c r="F25" s="300"/>
      <c r="G25" s="300"/>
    </row>
    <row r="26" spans="3:7" x14ac:dyDescent="0.25">
      <c r="D26" s="300"/>
      <c r="E26" s="300"/>
      <c r="F26" s="300"/>
      <c r="G26" s="300"/>
    </row>
    <row r="27" spans="3:7" x14ac:dyDescent="0.25">
      <c r="C27" s="300"/>
      <c r="F27" s="300"/>
      <c r="G27" s="300"/>
    </row>
    <row r="28" spans="3:7" x14ac:dyDescent="0.25">
      <c r="D28" s="300"/>
      <c r="E28" s="300"/>
      <c r="F28" s="300"/>
      <c r="G28" s="300"/>
    </row>
  </sheetData>
  <conditionalFormatting sqref="B3:F3 E4:G4 B4:C8 E5:H8 B9:H9">
    <cfRule type="expression" dxfId="32" priority="3">
      <formula>#REF!=#REF!</formula>
    </cfRule>
    <cfRule type="expression" dxfId="31" priority="4">
      <formula>#REF!=#REF!</formula>
    </cfRule>
  </conditionalFormatting>
  <conditionalFormatting sqref="I5:I9">
    <cfRule type="expression" dxfId="30" priority="1">
      <formula>#REF!=#REF!</formula>
    </cfRule>
    <cfRule type="expression" dxfId="29" priority="2">
      <formula>#REF!=#REF!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/>
  </sheetViews>
  <sheetFormatPr baseColWidth="10" defaultRowHeight="15" x14ac:dyDescent="0.25"/>
  <cols>
    <col min="1" max="1" width="3.85546875" customWidth="1"/>
    <col min="2" max="2" width="18.85546875" bestFit="1" customWidth="1"/>
    <col min="3" max="3" width="59.7109375" bestFit="1" customWidth="1"/>
    <col min="4" max="4" width="16.28515625" bestFit="1" customWidth="1"/>
    <col min="5" max="8" width="8.28515625" customWidth="1"/>
  </cols>
  <sheetData>
    <row r="1" spans="2:8" ht="15.75" thickBot="1" x14ac:dyDescent="0.3"/>
    <row r="2" spans="2:8" ht="19.5" thickBot="1" x14ac:dyDescent="0.35">
      <c r="B2" s="466" t="s">
        <v>342</v>
      </c>
      <c r="C2" s="467"/>
      <c r="D2" s="317">
        <f>+E11+F11+G11+H11</f>
        <v>722000</v>
      </c>
      <c r="E2" s="318"/>
      <c r="F2" s="318"/>
      <c r="G2" s="318"/>
      <c r="H2" s="319"/>
    </row>
    <row r="3" spans="2:8" ht="19.5" thickBot="1" x14ac:dyDescent="0.35">
      <c r="B3" s="340"/>
      <c r="C3" s="340"/>
      <c r="D3" s="341"/>
      <c r="E3" s="342"/>
      <c r="F3" s="342"/>
      <c r="G3" s="342"/>
      <c r="H3" s="342"/>
    </row>
    <row r="4" spans="2:8" ht="18.75" x14ac:dyDescent="0.3">
      <c r="B4" s="468" t="s">
        <v>343</v>
      </c>
      <c r="C4" s="469"/>
      <c r="D4" s="338"/>
      <c r="E4" s="338"/>
      <c r="F4" s="338"/>
      <c r="G4" s="338"/>
      <c r="H4" s="339"/>
    </row>
    <row r="5" spans="2:8" x14ac:dyDescent="0.25">
      <c r="B5" s="320" t="s">
        <v>327</v>
      </c>
      <c r="C5" s="321" t="s">
        <v>290</v>
      </c>
      <c r="D5" s="322" t="s">
        <v>287</v>
      </c>
      <c r="E5" s="323" t="s">
        <v>218</v>
      </c>
      <c r="F5" s="323" t="s">
        <v>219</v>
      </c>
      <c r="G5" s="323" t="s">
        <v>220</v>
      </c>
      <c r="H5" s="324" t="s">
        <v>272</v>
      </c>
    </row>
    <row r="6" spans="2:8" x14ac:dyDescent="0.25">
      <c r="B6" s="316" t="s">
        <v>289</v>
      </c>
      <c r="C6" s="263" t="s">
        <v>236</v>
      </c>
      <c r="D6" s="325"/>
      <c r="E6" s="325">
        <v>30000</v>
      </c>
      <c r="F6" s="325">
        <v>30000</v>
      </c>
      <c r="G6" s="325">
        <v>30000</v>
      </c>
      <c r="H6" s="326">
        <v>30000</v>
      </c>
    </row>
    <row r="7" spans="2:8" x14ac:dyDescent="0.25">
      <c r="B7" s="316" t="s">
        <v>289</v>
      </c>
      <c r="C7" s="263" t="s">
        <v>273</v>
      </c>
      <c r="D7" s="325"/>
      <c r="E7" s="325">
        <v>20000</v>
      </c>
      <c r="F7" s="325">
        <v>20000</v>
      </c>
      <c r="G7" s="325">
        <v>20000</v>
      </c>
      <c r="H7" s="326">
        <v>20000</v>
      </c>
    </row>
    <row r="8" spans="2:8" x14ac:dyDescent="0.25">
      <c r="B8" s="316" t="s">
        <v>289</v>
      </c>
      <c r="C8" s="263" t="s">
        <v>237</v>
      </c>
      <c r="D8" s="325"/>
      <c r="E8" s="325">
        <v>20000</v>
      </c>
      <c r="F8" s="325">
        <v>20000</v>
      </c>
      <c r="G8" s="325">
        <v>20000</v>
      </c>
      <c r="H8" s="326">
        <v>20000</v>
      </c>
    </row>
    <row r="9" spans="2:8" x14ac:dyDescent="0.25">
      <c r="B9" s="316" t="s">
        <v>289</v>
      </c>
      <c r="C9" s="263" t="s">
        <v>274</v>
      </c>
      <c r="D9" s="325"/>
      <c r="E9" s="325">
        <v>100000</v>
      </c>
      <c r="F9" s="325">
        <v>100000</v>
      </c>
      <c r="G9" s="325">
        <v>100000</v>
      </c>
      <c r="H9" s="326">
        <v>100000</v>
      </c>
    </row>
    <row r="10" spans="2:8" ht="15.75" thickBot="1" x14ac:dyDescent="0.3">
      <c r="B10" s="316" t="s">
        <v>289</v>
      </c>
      <c r="C10" s="263" t="s">
        <v>275</v>
      </c>
      <c r="D10" s="325">
        <v>200000</v>
      </c>
      <c r="E10" s="325"/>
      <c r="F10" s="325">
        <v>2000</v>
      </c>
      <c r="G10" s="325">
        <v>20000</v>
      </c>
      <c r="H10" s="326">
        <v>20000</v>
      </c>
    </row>
    <row r="11" spans="2:8" ht="15.75" thickBot="1" x14ac:dyDescent="0.3">
      <c r="B11" s="308"/>
      <c r="C11" s="309" t="s">
        <v>344</v>
      </c>
      <c r="D11" s="310"/>
      <c r="E11" s="310">
        <f>SUM(E6:E10)</f>
        <v>170000</v>
      </c>
      <c r="F11" s="310">
        <f>SUM(F6:F10)</f>
        <v>172000</v>
      </c>
      <c r="G11" s="310">
        <f>SUM(G6:G10)</f>
        <v>190000</v>
      </c>
      <c r="H11" s="311">
        <f>SUM(H6:H10)</f>
        <v>190000</v>
      </c>
    </row>
    <row r="13" spans="2:8" x14ac:dyDescent="0.25">
      <c r="F13" s="356"/>
    </row>
  </sheetData>
  <mergeCells count="2">
    <mergeCell ref="B2:C2"/>
    <mergeCell ref="B4:C4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/>
  </sheetViews>
  <sheetFormatPr baseColWidth="10" defaultRowHeight="15" x14ac:dyDescent="0.25"/>
  <cols>
    <col min="2" max="2" width="50.28515625" bestFit="1" customWidth="1"/>
    <col min="3" max="3" width="16.28515625" bestFit="1" customWidth="1"/>
    <col min="4" max="7" width="0" hidden="1" customWidth="1"/>
    <col min="8" max="8" width="16.85546875" customWidth="1"/>
  </cols>
  <sheetData>
    <row r="1" spans="2:9" x14ac:dyDescent="0.25">
      <c r="B1" t="s">
        <v>379</v>
      </c>
    </row>
    <row r="2" spans="2:9" s="357" customFormat="1" x14ac:dyDescent="0.25">
      <c r="B2" s="357" t="s">
        <v>290</v>
      </c>
      <c r="C2" s="357" t="s">
        <v>351</v>
      </c>
      <c r="D2" s="357" t="s">
        <v>218</v>
      </c>
      <c r="E2" s="357" t="s">
        <v>219</v>
      </c>
      <c r="F2" s="357" t="s">
        <v>220</v>
      </c>
      <c r="G2" s="357" t="s">
        <v>272</v>
      </c>
      <c r="H2" s="358" t="s">
        <v>380</v>
      </c>
    </row>
    <row r="3" spans="2:9" x14ac:dyDescent="0.25">
      <c r="B3" t="s">
        <v>348</v>
      </c>
      <c r="C3" s="215">
        <v>286000</v>
      </c>
      <c r="D3" s="215">
        <v>5000</v>
      </c>
      <c r="E3" s="215">
        <v>10000</v>
      </c>
      <c r="F3" s="215">
        <v>105000</v>
      </c>
      <c r="G3" s="215">
        <v>105000</v>
      </c>
      <c r="H3" s="359">
        <v>-59000</v>
      </c>
    </row>
    <row r="4" spans="2:9" x14ac:dyDescent="0.25">
      <c r="B4" t="s">
        <v>349</v>
      </c>
      <c r="C4" s="215">
        <v>210000</v>
      </c>
      <c r="D4" s="215">
        <v>5000</v>
      </c>
      <c r="E4" s="215">
        <v>10000</v>
      </c>
      <c r="F4" s="215">
        <v>40000</v>
      </c>
      <c r="G4" s="215">
        <v>100000</v>
      </c>
      <c r="H4" s="359">
        <v>-55000</v>
      </c>
    </row>
    <row r="5" spans="2:9" x14ac:dyDescent="0.25">
      <c r="B5" t="s">
        <v>350</v>
      </c>
      <c r="C5" s="215">
        <v>185000</v>
      </c>
      <c r="D5" s="215">
        <v>3000</v>
      </c>
      <c r="E5" s="215">
        <v>8000</v>
      </c>
      <c r="F5" s="215">
        <v>40000</v>
      </c>
      <c r="G5" s="215">
        <v>94000</v>
      </c>
      <c r="H5" s="359">
        <v>-40000</v>
      </c>
    </row>
    <row r="6" spans="2:9" x14ac:dyDescent="0.25">
      <c r="B6" t="s">
        <v>11</v>
      </c>
      <c r="C6" s="215">
        <v>11000</v>
      </c>
      <c r="D6" s="215">
        <v>11000</v>
      </c>
      <c r="E6" s="215"/>
      <c r="F6" s="215"/>
      <c r="G6" s="215"/>
      <c r="H6" s="359">
        <v>-11000</v>
      </c>
    </row>
    <row r="7" spans="2:9" x14ac:dyDescent="0.25">
      <c r="B7" t="s">
        <v>358</v>
      </c>
      <c r="C7" s="215">
        <v>30000</v>
      </c>
      <c r="D7" s="215">
        <v>5000</v>
      </c>
      <c r="E7" s="215">
        <v>5000</v>
      </c>
      <c r="F7" s="215">
        <v>10000</v>
      </c>
      <c r="G7" s="215">
        <v>10000</v>
      </c>
      <c r="H7" s="359">
        <v>-20000</v>
      </c>
    </row>
    <row r="8" spans="2:9" x14ac:dyDescent="0.25">
      <c r="B8" t="s">
        <v>359</v>
      </c>
      <c r="C8" s="215">
        <v>90000</v>
      </c>
      <c r="D8" s="215">
        <v>37400</v>
      </c>
      <c r="E8" s="215">
        <v>30000</v>
      </c>
      <c r="F8" s="215"/>
      <c r="G8" s="215"/>
      <c r="H8" s="359">
        <v>-35000</v>
      </c>
    </row>
    <row r="9" spans="2:9" x14ac:dyDescent="0.25">
      <c r="B9" t="s">
        <v>360</v>
      </c>
      <c r="C9" s="215"/>
      <c r="D9" s="215">
        <v>15000</v>
      </c>
      <c r="E9" s="215">
        <v>20000</v>
      </c>
      <c r="F9" s="215">
        <v>15000</v>
      </c>
      <c r="G9" s="215">
        <v>20000</v>
      </c>
      <c r="H9" s="359">
        <v>-50000</v>
      </c>
    </row>
    <row r="10" spans="2:9" x14ac:dyDescent="0.25">
      <c r="B10" t="s">
        <v>361</v>
      </c>
      <c r="C10" s="215">
        <v>11000</v>
      </c>
      <c r="D10" s="215"/>
      <c r="E10" s="215">
        <v>3000</v>
      </c>
      <c r="F10" s="215">
        <v>8000</v>
      </c>
      <c r="G10" s="215"/>
      <c r="H10" s="359">
        <v>-11000</v>
      </c>
    </row>
    <row r="11" spans="2:9" x14ac:dyDescent="0.25">
      <c r="B11" t="s">
        <v>365</v>
      </c>
      <c r="C11" s="215">
        <v>305000</v>
      </c>
      <c r="D11" s="215">
        <v>20000</v>
      </c>
      <c r="E11" s="215">
        <v>40000</v>
      </c>
      <c r="F11" s="215">
        <v>40000</v>
      </c>
      <c r="G11" s="215">
        <v>20000</v>
      </c>
      <c r="H11" s="359">
        <v>-40000</v>
      </c>
    </row>
    <row r="12" spans="2:9" x14ac:dyDescent="0.25">
      <c r="C12" s="215"/>
      <c r="D12" s="215"/>
      <c r="E12" s="215"/>
      <c r="F12" s="215"/>
      <c r="G12" s="215"/>
      <c r="H12" s="215"/>
    </row>
    <row r="13" spans="2:9" ht="15.75" thickBot="1" x14ac:dyDescent="0.3">
      <c r="C13" s="215"/>
      <c r="D13" s="215"/>
      <c r="E13" s="215"/>
      <c r="F13" s="215"/>
      <c r="G13" s="215"/>
      <c r="H13" s="215"/>
    </row>
    <row r="14" spans="2:9" s="305" customFormat="1" ht="24" customHeight="1" x14ac:dyDescent="0.25">
      <c r="B14" s="367" t="s">
        <v>290</v>
      </c>
      <c r="C14" s="368" t="s">
        <v>287</v>
      </c>
      <c r="D14" s="368" t="s">
        <v>218</v>
      </c>
      <c r="E14" s="368" t="s">
        <v>219</v>
      </c>
      <c r="F14" s="368" t="s">
        <v>220</v>
      </c>
      <c r="G14" s="368" t="s">
        <v>272</v>
      </c>
      <c r="H14" s="369" t="s">
        <v>380</v>
      </c>
    </row>
    <row r="15" spans="2:9" x14ac:dyDescent="0.25">
      <c r="B15" s="316" t="s">
        <v>348</v>
      </c>
      <c r="C15" s="362" t="s">
        <v>381</v>
      </c>
      <c r="D15" s="362">
        <v>5000</v>
      </c>
      <c r="E15" s="362">
        <v>10000</v>
      </c>
      <c r="F15" s="362">
        <v>105000</v>
      </c>
      <c r="G15" s="362">
        <v>105000</v>
      </c>
      <c r="H15" s="363" t="s">
        <v>382</v>
      </c>
      <c r="I15" s="370"/>
    </row>
    <row r="16" spans="2:9" x14ac:dyDescent="0.25">
      <c r="B16" s="316" t="s">
        <v>349</v>
      </c>
      <c r="C16" s="362" t="s">
        <v>383</v>
      </c>
      <c r="D16" s="362">
        <v>5000</v>
      </c>
      <c r="E16" s="362">
        <v>10000</v>
      </c>
      <c r="F16" s="362">
        <v>40000</v>
      </c>
      <c r="G16" s="362">
        <v>100000</v>
      </c>
      <c r="H16" s="363" t="s">
        <v>384</v>
      </c>
      <c r="I16" s="370"/>
    </row>
    <row r="17" spans="2:9" x14ac:dyDescent="0.25">
      <c r="B17" s="316" t="s">
        <v>350</v>
      </c>
      <c r="C17" s="362" t="s">
        <v>385</v>
      </c>
      <c r="D17" s="362">
        <v>3000</v>
      </c>
      <c r="E17" s="362">
        <v>8000</v>
      </c>
      <c r="F17" s="362">
        <v>40000</v>
      </c>
      <c r="G17" s="362">
        <v>94000</v>
      </c>
      <c r="H17" s="363" t="s">
        <v>386</v>
      </c>
      <c r="I17" s="370"/>
    </row>
    <row r="18" spans="2:9" x14ac:dyDescent="0.25">
      <c r="B18" s="316" t="s">
        <v>11</v>
      </c>
      <c r="C18" s="362" t="s">
        <v>387</v>
      </c>
      <c r="D18" s="362">
        <v>11000</v>
      </c>
      <c r="E18" s="362"/>
      <c r="F18" s="362"/>
      <c r="G18" s="362"/>
      <c r="H18" s="363" t="s">
        <v>388</v>
      </c>
      <c r="I18" s="370"/>
    </row>
    <row r="19" spans="2:9" x14ac:dyDescent="0.25">
      <c r="B19" s="316" t="s">
        <v>303</v>
      </c>
      <c r="C19" s="362" t="s">
        <v>387</v>
      </c>
      <c r="D19" s="362"/>
      <c r="E19" s="362">
        <v>3000</v>
      </c>
      <c r="F19" s="362">
        <v>8000</v>
      </c>
      <c r="G19" s="362"/>
      <c r="H19" s="363" t="s">
        <v>394</v>
      </c>
      <c r="I19" s="370"/>
    </row>
    <row r="20" spans="2:9" x14ac:dyDescent="0.25">
      <c r="B20" s="316" t="s">
        <v>358</v>
      </c>
      <c r="C20" s="362" t="s">
        <v>389</v>
      </c>
      <c r="D20" s="362">
        <v>5000</v>
      </c>
      <c r="E20" s="362">
        <v>5000</v>
      </c>
      <c r="F20" s="362">
        <v>10000</v>
      </c>
      <c r="G20" s="362">
        <v>10000</v>
      </c>
      <c r="H20" s="363" t="s">
        <v>392</v>
      </c>
      <c r="I20" s="370"/>
    </row>
    <row r="21" spans="2:9" x14ac:dyDescent="0.25">
      <c r="B21" s="316" t="s">
        <v>359</v>
      </c>
      <c r="C21" s="362" t="s">
        <v>390</v>
      </c>
      <c r="D21" s="362">
        <v>37400</v>
      </c>
      <c r="E21" s="362">
        <v>30000</v>
      </c>
      <c r="F21" s="362"/>
      <c r="G21" s="362"/>
      <c r="H21" s="363" t="s">
        <v>391</v>
      </c>
      <c r="I21" s="370"/>
    </row>
    <row r="22" spans="2:9" x14ac:dyDescent="0.25">
      <c r="B22" s="316" t="s">
        <v>360</v>
      </c>
      <c r="C22" s="362" t="s">
        <v>239</v>
      </c>
      <c r="D22" s="362">
        <v>15000</v>
      </c>
      <c r="E22" s="362">
        <v>20000</v>
      </c>
      <c r="F22" s="362">
        <v>15000</v>
      </c>
      <c r="G22" s="362">
        <v>20000</v>
      </c>
      <c r="H22" s="363" t="s">
        <v>393</v>
      </c>
      <c r="I22" s="370"/>
    </row>
    <row r="23" spans="2:9" ht="15.75" thickBot="1" x14ac:dyDescent="0.3">
      <c r="B23" s="364" t="s">
        <v>365</v>
      </c>
      <c r="C23" s="365" t="s">
        <v>395</v>
      </c>
      <c r="D23" s="365">
        <v>20000</v>
      </c>
      <c r="E23" s="365">
        <v>40000</v>
      </c>
      <c r="F23" s="365">
        <v>40000</v>
      </c>
      <c r="G23" s="365">
        <v>20000</v>
      </c>
      <c r="H23" s="366" t="s">
        <v>386</v>
      </c>
      <c r="I23" s="370"/>
    </row>
    <row r="24" spans="2:9" x14ac:dyDescent="0.25">
      <c r="C24" s="371" t="s">
        <v>397</v>
      </c>
      <c r="D24" s="371"/>
      <c r="E24" s="371"/>
      <c r="F24" s="371"/>
      <c r="G24" s="371"/>
      <c r="H24" s="372" t="s">
        <v>396</v>
      </c>
      <c r="I24" s="356"/>
    </row>
    <row r="25" spans="2:9" x14ac:dyDescent="0.25">
      <c r="C25" s="215"/>
      <c r="D25" s="215"/>
      <c r="E25" s="215"/>
      <c r="F25" s="215"/>
      <c r="G25" s="215"/>
      <c r="H25" s="215"/>
    </row>
    <row r="26" spans="2:9" x14ac:dyDescent="0.25">
      <c r="C26" s="215"/>
      <c r="D26" s="215"/>
      <c r="E26" s="215"/>
      <c r="F26" s="215"/>
      <c r="G26" s="215"/>
      <c r="H26" s="21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baseColWidth="10" defaultRowHeight="15" x14ac:dyDescent="0.25"/>
  <cols>
    <col min="1" max="1" width="48.140625" bestFit="1" customWidth="1"/>
    <col min="2" max="2" width="14.85546875" customWidth="1"/>
    <col min="5" max="5" width="38.28515625" bestFit="1" customWidth="1"/>
    <col min="6" max="6" width="15.7109375" bestFit="1" customWidth="1"/>
    <col min="8" max="8" width="2.7109375" customWidth="1"/>
    <col min="9" max="9" width="25.140625" customWidth="1"/>
    <col min="10" max="10" width="41.7109375" customWidth="1"/>
  </cols>
  <sheetData>
    <row r="1" spans="1:10" x14ac:dyDescent="0.25">
      <c r="A1" t="s">
        <v>379</v>
      </c>
    </row>
    <row r="2" spans="1:10" s="253" customFormat="1" ht="18.75" x14ac:dyDescent="0.25">
      <c r="A2" s="360" t="s">
        <v>368</v>
      </c>
      <c r="B2" s="253" t="s">
        <v>366</v>
      </c>
      <c r="E2" s="373" t="s">
        <v>418</v>
      </c>
      <c r="F2" s="373" t="s">
        <v>398</v>
      </c>
      <c r="I2" s="379" t="s">
        <v>221</v>
      </c>
      <c r="J2" s="379" t="s">
        <v>435</v>
      </c>
    </row>
    <row r="3" spans="1:10" x14ac:dyDescent="0.25">
      <c r="A3" t="s">
        <v>370</v>
      </c>
      <c r="B3" s="361">
        <v>84000</v>
      </c>
      <c r="E3" t="s">
        <v>400</v>
      </c>
      <c r="F3" t="s">
        <v>399</v>
      </c>
      <c r="I3" s="1" t="s">
        <v>421</v>
      </c>
      <c r="J3" s="374" t="s">
        <v>427</v>
      </c>
    </row>
    <row r="4" spans="1:10" x14ac:dyDescent="0.25">
      <c r="A4" t="s">
        <v>377</v>
      </c>
      <c r="B4" s="215">
        <v>35000</v>
      </c>
      <c r="E4" t="s">
        <v>303</v>
      </c>
      <c r="F4" t="s">
        <v>387</v>
      </c>
      <c r="I4" s="238" t="s">
        <v>425</v>
      </c>
      <c r="J4" s="375" t="s">
        <v>430</v>
      </c>
    </row>
    <row r="5" spans="1:10" x14ac:dyDescent="0.25">
      <c r="A5" t="s">
        <v>356</v>
      </c>
      <c r="B5" s="361">
        <v>11000</v>
      </c>
      <c r="E5" t="s">
        <v>401</v>
      </c>
      <c r="F5" t="s">
        <v>403</v>
      </c>
      <c r="I5" s="20" t="s">
        <v>420</v>
      </c>
      <c r="J5" s="378" t="s">
        <v>429</v>
      </c>
    </row>
    <row r="6" spans="1:10" x14ac:dyDescent="0.25">
      <c r="A6" t="s">
        <v>372</v>
      </c>
      <c r="B6" s="361">
        <v>2500</v>
      </c>
      <c r="E6" t="s">
        <v>362</v>
      </c>
      <c r="F6" t="s">
        <v>241</v>
      </c>
      <c r="I6" s="1" t="s">
        <v>419</v>
      </c>
      <c r="J6" s="374" t="s">
        <v>428</v>
      </c>
    </row>
    <row r="7" spans="1:10" x14ac:dyDescent="0.25">
      <c r="A7" t="s">
        <v>369</v>
      </c>
      <c r="B7" s="361">
        <v>2000</v>
      </c>
      <c r="E7" s="373" t="s">
        <v>419</v>
      </c>
      <c r="F7" s="373"/>
      <c r="I7" s="2" t="s">
        <v>424</v>
      </c>
      <c r="J7" s="376" t="s">
        <v>431</v>
      </c>
    </row>
    <row r="8" spans="1:10" x14ac:dyDescent="0.25">
      <c r="A8" t="s">
        <v>355</v>
      </c>
      <c r="B8" s="361">
        <v>19000</v>
      </c>
      <c r="E8" t="s">
        <v>402</v>
      </c>
      <c r="F8" t="s">
        <v>404</v>
      </c>
      <c r="I8" s="160" t="s">
        <v>423</v>
      </c>
      <c r="J8" s="88" t="s">
        <v>432</v>
      </c>
    </row>
    <row r="9" spans="1:10" x14ac:dyDescent="0.25">
      <c r="A9" t="s">
        <v>371</v>
      </c>
      <c r="B9" s="361">
        <v>5000</v>
      </c>
      <c r="E9" t="s">
        <v>378</v>
      </c>
      <c r="F9" t="s">
        <v>241</v>
      </c>
      <c r="I9" s="1" t="s">
        <v>422</v>
      </c>
      <c r="J9" s="374" t="s">
        <v>433</v>
      </c>
    </row>
    <row r="10" spans="1:10" x14ac:dyDescent="0.25">
      <c r="A10" t="s">
        <v>373</v>
      </c>
      <c r="B10" s="361">
        <v>8000</v>
      </c>
      <c r="I10" s="220" t="s">
        <v>426</v>
      </c>
      <c r="J10" s="377" t="s">
        <v>434</v>
      </c>
    </row>
    <row r="11" spans="1:10" x14ac:dyDescent="0.25">
      <c r="A11" t="s">
        <v>374</v>
      </c>
      <c r="B11" s="361">
        <v>30000</v>
      </c>
    </row>
    <row r="12" spans="1:10" x14ac:dyDescent="0.25">
      <c r="A12" t="s">
        <v>375</v>
      </c>
      <c r="B12" s="361">
        <v>7500</v>
      </c>
      <c r="E12" s="373" t="s">
        <v>405</v>
      </c>
      <c r="F12" s="373" t="s">
        <v>398</v>
      </c>
    </row>
    <row r="13" spans="1:10" x14ac:dyDescent="0.25">
      <c r="A13" t="s">
        <v>362</v>
      </c>
      <c r="B13" s="361">
        <v>60000</v>
      </c>
      <c r="E13" t="s">
        <v>406</v>
      </c>
      <c r="F13" t="s">
        <v>407</v>
      </c>
    </row>
    <row r="14" spans="1:10" s="253" customFormat="1" x14ac:dyDescent="0.25">
      <c r="A14" t="s">
        <v>353</v>
      </c>
      <c r="B14" s="361" t="s">
        <v>376</v>
      </c>
      <c r="E14" t="s">
        <v>408</v>
      </c>
      <c r="F14" t="s">
        <v>409</v>
      </c>
    </row>
    <row r="15" spans="1:10" s="253" customFormat="1" x14ac:dyDescent="0.25">
      <c r="A15" t="s">
        <v>352</v>
      </c>
      <c r="B15" s="361" t="s">
        <v>376</v>
      </c>
      <c r="E15" s="253" t="s">
        <v>410</v>
      </c>
      <c r="F15" s="253" t="s">
        <v>411</v>
      </c>
    </row>
    <row r="16" spans="1:10" s="253" customFormat="1" x14ac:dyDescent="0.25">
      <c r="A16" t="s">
        <v>354</v>
      </c>
      <c r="B16" s="361" t="s">
        <v>376</v>
      </c>
      <c r="E16" s="253" t="s">
        <v>412</v>
      </c>
      <c r="F16" s="253" t="s">
        <v>413</v>
      </c>
    </row>
    <row r="17" spans="1:6" x14ac:dyDescent="0.25">
      <c r="A17" t="s">
        <v>357</v>
      </c>
      <c r="B17" s="361" t="s">
        <v>376</v>
      </c>
      <c r="E17" s="253" t="s">
        <v>414</v>
      </c>
      <c r="F17" s="253" t="s">
        <v>415</v>
      </c>
    </row>
    <row r="18" spans="1:6" x14ac:dyDescent="0.25">
      <c r="A18" t="s">
        <v>378</v>
      </c>
      <c r="B18" s="361" t="s">
        <v>376</v>
      </c>
      <c r="E18" s="253" t="s">
        <v>373</v>
      </c>
      <c r="F18" s="253" t="s">
        <v>416</v>
      </c>
    </row>
    <row r="19" spans="1:6" x14ac:dyDescent="0.25">
      <c r="A19" t="s">
        <v>367</v>
      </c>
      <c r="B19" s="361" t="s">
        <v>376</v>
      </c>
      <c r="E19" s="253" t="s">
        <v>374</v>
      </c>
      <c r="F19" s="253" t="s">
        <v>389</v>
      </c>
    </row>
    <row r="20" spans="1:6" x14ac:dyDescent="0.25">
      <c r="B20" s="361"/>
      <c r="E20" s="253" t="s">
        <v>417</v>
      </c>
      <c r="F20" s="253" t="s">
        <v>241</v>
      </c>
    </row>
    <row r="21" spans="1:6" x14ac:dyDescent="0.25">
      <c r="B21" s="361"/>
      <c r="E21" s="253" t="s">
        <v>367</v>
      </c>
      <c r="F21" s="253" t="s">
        <v>241</v>
      </c>
    </row>
    <row r="22" spans="1:6" x14ac:dyDescent="0.25">
      <c r="B22" s="361"/>
    </row>
    <row r="23" spans="1:6" x14ac:dyDescent="0.25">
      <c r="B23" s="361"/>
    </row>
    <row r="24" spans="1:6" x14ac:dyDescent="0.25">
      <c r="B24" s="361"/>
    </row>
    <row r="27" spans="1:6" ht="27" customHeight="1" x14ac:dyDescent="0.25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1"/>
  <sheetViews>
    <sheetView showGridLines="0" tabSelected="1" zoomScale="118" zoomScaleNormal="118" workbookViewId="0">
      <pane ySplit="4" topLeftCell="A187" activePane="bottomLeft" state="frozen"/>
      <selection pane="bottomLeft" activeCell="N2" sqref="N2"/>
    </sheetView>
  </sheetViews>
  <sheetFormatPr baseColWidth="10" defaultRowHeight="15" x14ac:dyDescent="0.25"/>
  <cols>
    <col min="1" max="1" width="0.7109375" customWidth="1"/>
    <col min="2" max="2" width="4.42578125" style="246" customWidth="1"/>
    <col min="3" max="3" width="83.140625" style="228" bestFit="1" customWidth="1"/>
    <col min="4" max="4" width="10.85546875" style="444" bestFit="1" customWidth="1"/>
    <col min="5" max="5" width="10.85546875" style="34" bestFit="1" customWidth="1"/>
    <col min="6" max="6" width="9.28515625" style="34" bestFit="1" customWidth="1"/>
    <col min="7" max="7" width="9.28515625" style="2" bestFit="1" customWidth="1"/>
    <col min="8" max="8" width="10.85546875" style="2" bestFit="1" customWidth="1"/>
  </cols>
  <sheetData>
    <row r="1" spans="2:8" ht="7.5" customHeight="1" thickBot="1" x14ac:dyDescent="0.3"/>
    <row r="2" spans="2:8" ht="58.5" customHeight="1" thickBot="1" x14ac:dyDescent="0.3">
      <c r="B2" s="461" t="s">
        <v>508</v>
      </c>
      <c r="C2" s="462"/>
      <c r="D2" s="462"/>
      <c r="E2" s="462"/>
      <c r="F2" s="462"/>
      <c r="G2" s="462"/>
      <c r="H2" s="463"/>
    </row>
    <row r="3" spans="2:8" ht="6.75" customHeight="1" thickBot="1" x14ac:dyDescent="0.3">
      <c r="B3"/>
      <c r="C3"/>
      <c r="D3" s="445"/>
      <c r="E3"/>
      <c r="F3"/>
      <c r="G3"/>
      <c r="H3"/>
    </row>
    <row r="4" spans="2:8" ht="21.75" thickBot="1" x14ac:dyDescent="0.3">
      <c r="B4" s="464" t="s">
        <v>506</v>
      </c>
      <c r="C4" s="465"/>
      <c r="D4" s="395" t="s">
        <v>351</v>
      </c>
      <c r="E4" s="395">
        <v>2018</v>
      </c>
      <c r="F4" s="395">
        <v>2019</v>
      </c>
      <c r="G4" s="395">
        <v>2020</v>
      </c>
      <c r="H4" s="396">
        <v>2021</v>
      </c>
    </row>
    <row r="5" spans="2:8" ht="6" customHeight="1" thickBot="1" x14ac:dyDescent="0.3">
      <c r="B5"/>
      <c r="C5"/>
      <c r="D5" s="445"/>
      <c r="E5"/>
      <c r="F5"/>
      <c r="G5"/>
      <c r="H5"/>
    </row>
    <row r="6" spans="2:8" x14ac:dyDescent="0.25">
      <c r="B6" s="405"/>
      <c r="C6" s="406" t="s">
        <v>483</v>
      </c>
      <c r="D6" s="446"/>
      <c r="E6" s="407"/>
      <c r="F6" s="407"/>
      <c r="G6" s="408"/>
      <c r="H6" s="409"/>
    </row>
    <row r="7" spans="2:8" x14ac:dyDescent="0.25">
      <c r="B7" s="247">
        <v>1</v>
      </c>
      <c r="C7" s="229" t="s">
        <v>461</v>
      </c>
      <c r="D7" s="442">
        <v>110000</v>
      </c>
      <c r="E7" s="230">
        <v>58000</v>
      </c>
      <c r="F7" s="230">
        <v>12000</v>
      </c>
      <c r="G7" s="231"/>
      <c r="H7" s="232"/>
    </row>
    <row r="8" spans="2:8" x14ac:dyDescent="0.25">
      <c r="B8" s="240">
        <v>2</v>
      </c>
      <c r="C8" s="70" t="s">
        <v>3</v>
      </c>
      <c r="D8" s="443"/>
      <c r="E8" s="16">
        <v>1000</v>
      </c>
      <c r="F8" s="16">
        <v>1000</v>
      </c>
      <c r="G8" s="16">
        <v>1000</v>
      </c>
      <c r="H8" s="22">
        <v>1000</v>
      </c>
    </row>
    <row r="9" spans="2:8" x14ac:dyDescent="0.25">
      <c r="B9" s="247">
        <v>3</v>
      </c>
      <c r="C9" s="229" t="s">
        <v>149</v>
      </c>
      <c r="D9" s="442">
        <v>140000</v>
      </c>
      <c r="E9" s="230">
        <v>4000</v>
      </c>
      <c r="F9" s="230">
        <v>30000</v>
      </c>
      <c r="G9" s="231">
        <v>50000</v>
      </c>
      <c r="H9" s="232">
        <v>56000</v>
      </c>
    </row>
    <row r="10" spans="2:8" x14ac:dyDescent="0.25">
      <c r="B10" s="240">
        <v>4</v>
      </c>
      <c r="C10" s="70" t="s">
        <v>150</v>
      </c>
      <c r="D10" s="443">
        <v>150000</v>
      </c>
      <c r="E10" s="16">
        <v>4000</v>
      </c>
      <c r="F10" s="16">
        <v>30000</v>
      </c>
      <c r="G10" s="16">
        <v>50000</v>
      </c>
      <c r="H10" s="22">
        <v>66000</v>
      </c>
    </row>
    <row r="11" spans="2:8" x14ac:dyDescent="0.25">
      <c r="B11" s="247">
        <v>5</v>
      </c>
      <c r="C11" s="229" t="s">
        <v>134</v>
      </c>
      <c r="D11" s="442">
        <v>350</v>
      </c>
      <c r="E11" s="230">
        <v>350</v>
      </c>
      <c r="F11" s="230" t="s">
        <v>239</v>
      </c>
      <c r="G11" s="231" t="s">
        <v>239</v>
      </c>
      <c r="H11" s="232" t="s">
        <v>239</v>
      </c>
    </row>
    <row r="12" spans="2:8" x14ac:dyDescent="0.25">
      <c r="B12" s="240">
        <v>6</v>
      </c>
      <c r="C12" s="70" t="s">
        <v>6</v>
      </c>
      <c r="D12" s="443" t="s">
        <v>239</v>
      </c>
      <c r="E12" s="16">
        <v>3000</v>
      </c>
      <c r="F12" s="16">
        <v>1500</v>
      </c>
      <c r="G12" s="16">
        <v>1500</v>
      </c>
      <c r="H12" s="22">
        <v>1500</v>
      </c>
    </row>
    <row r="13" spans="2:8" x14ac:dyDescent="0.25">
      <c r="B13" s="247">
        <v>7</v>
      </c>
      <c r="C13" s="229" t="s">
        <v>187</v>
      </c>
      <c r="D13" s="442">
        <v>6600</v>
      </c>
      <c r="E13" s="230">
        <v>2700</v>
      </c>
      <c r="F13" s="230">
        <v>2000</v>
      </c>
      <c r="G13" s="231"/>
      <c r="H13" s="232"/>
    </row>
    <row r="14" spans="2:8" x14ac:dyDescent="0.25">
      <c r="B14" s="240">
        <v>8</v>
      </c>
      <c r="C14" s="70" t="s">
        <v>487</v>
      </c>
      <c r="D14" s="443"/>
      <c r="E14" s="16">
        <v>3500</v>
      </c>
      <c r="F14" s="16">
        <v>3500</v>
      </c>
      <c r="G14" s="16"/>
      <c r="H14" s="22"/>
    </row>
    <row r="15" spans="2:8" x14ac:dyDescent="0.25">
      <c r="B15" s="247">
        <v>9</v>
      </c>
      <c r="C15" s="229" t="s">
        <v>484</v>
      </c>
      <c r="D15" s="442">
        <v>27000</v>
      </c>
      <c r="E15" s="230">
        <v>25000</v>
      </c>
      <c r="F15" s="230">
        <v>2000</v>
      </c>
      <c r="G15" s="231"/>
      <c r="H15" s="232"/>
    </row>
    <row r="16" spans="2:8" x14ac:dyDescent="0.25">
      <c r="B16" s="240">
        <v>10</v>
      </c>
      <c r="C16" s="70" t="s">
        <v>486</v>
      </c>
      <c r="D16" s="443">
        <v>1000</v>
      </c>
      <c r="E16" s="16">
        <v>1000</v>
      </c>
      <c r="F16" s="16"/>
      <c r="G16" s="16"/>
      <c r="H16" s="22"/>
    </row>
    <row r="17" spans="2:8" x14ac:dyDescent="0.25">
      <c r="B17" s="247">
        <v>11</v>
      </c>
      <c r="C17" s="229" t="s">
        <v>485</v>
      </c>
      <c r="D17" s="442">
        <v>3500</v>
      </c>
      <c r="E17" s="230">
        <v>3500</v>
      </c>
      <c r="F17" s="230"/>
      <c r="G17" s="231"/>
      <c r="H17" s="232"/>
    </row>
    <row r="18" spans="2:8" x14ac:dyDescent="0.25">
      <c r="B18" s="240">
        <v>12</v>
      </c>
      <c r="C18" s="70" t="s">
        <v>454</v>
      </c>
      <c r="D18" s="443">
        <v>4000</v>
      </c>
      <c r="E18" s="16">
        <v>500</v>
      </c>
      <c r="F18" s="16">
        <v>3500</v>
      </c>
      <c r="G18" s="16"/>
      <c r="H18" s="22"/>
    </row>
    <row r="19" spans="2:8" x14ac:dyDescent="0.25">
      <c r="B19" s="247">
        <v>13</v>
      </c>
      <c r="C19" s="229" t="s">
        <v>478</v>
      </c>
      <c r="D19" s="442">
        <v>1500</v>
      </c>
      <c r="E19" s="230">
        <v>1500</v>
      </c>
      <c r="F19" s="230"/>
      <c r="G19" s="231"/>
      <c r="H19" s="232"/>
    </row>
    <row r="20" spans="2:8" x14ac:dyDescent="0.25">
      <c r="B20" s="240">
        <v>14</v>
      </c>
      <c r="C20" s="70" t="s">
        <v>488</v>
      </c>
      <c r="D20" s="443"/>
      <c r="E20" s="16">
        <v>10000</v>
      </c>
      <c r="F20" s="16">
        <v>10000</v>
      </c>
      <c r="G20" s="16">
        <v>10000</v>
      </c>
      <c r="H20" s="22">
        <v>0</v>
      </c>
    </row>
    <row r="21" spans="2:8" x14ac:dyDescent="0.25">
      <c r="B21" s="247">
        <v>15</v>
      </c>
      <c r="C21" s="229" t="s">
        <v>207</v>
      </c>
      <c r="D21" s="442"/>
      <c r="E21" s="230">
        <v>5000</v>
      </c>
      <c r="F21" s="230">
        <v>2500</v>
      </c>
      <c r="G21" s="231"/>
      <c r="H21" s="232"/>
    </row>
    <row r="22" spans="2:8" x14ac:dyDescent="0.25">
      <c r="B22" s="240">
        <v>16</v>
      </c>
      <c r="C22" s="70" t="s">
        <v>208</v>
      </c>
      <c r="D22" s="443"/>
      <c r="E22" s="16">
        <v>2500</v>
      </c>
      <c r="F22" s="16">
        <v>2000</v>
      </c>
      <c r="G22" s="16">
        <v>2000</v>
      </c>
      <c r="H22" s="22">
        <v>0</v>
      </c>
    </row>
    <row r="23" spans="2:8" x14ac:dyDescent="0.25">
      <c r="B23" s="247">
        <v>17</v>
      </c>
      <c r="C23" s="229" t="s">
        <v>37</v>
      </c>
      <c r="D23" s="442">
        <v>8000</v>
      </c>
      <c r="E23" s="230">
        <v>2000</v>
      </c>
      <c r="F23" s="230">
        <v>2000</v>
      </c>
      <c r="G23" s="231">
        <v>0</v>
      </c>
      <c r="H23" s="232">
        <v>0</v>
      </c>
    </row>
    <row r="24" spans="2:8" x14ac:dyDescent="0.25">
      <c r="B24" s="240">
        <v>18</v>
      </c>
      <c r="C24" s="70" t="s">
        <v>138</v>
      </c>
      <c r="D24" s="443"/>
      <c r="E24" s="16">
        <v>2800</v>
      </c>
      <c r="F24" s="16">
        <v>800</v>
      </c>
      <c r="G24" s="16">
        <v>800</v>
      </c>
      <c r="H24" s="22">
        <v>0</v>
      </c>
    </row>
    <row r="25" spans="2:8" x14ac:dyDescent="0.25">
      <c r="B25" s="247">
        <v>19</v>
      </c>
      <c r="C25" s="229" t="s">
        <v>94</v>
      </c>
      <c r="D25" s="442"/>
      <c r="E25" s="230">
        <v>21000</v>
      </c>
      <c r="F25" s="230">
        <v>23100</v>
      </c>
      <c r="G25" s="231">
        <v>25400</v>
      </c>
      <c r="H25" s="232">
        <v>28000</v>
      </c>
    </row>
    <row r="26" spans="2:8" x14ac:dyDescent="0.25">
      <c r="B26" s="240">
        <v>20</v>
      </c>
      <c r="C26" s="70" t="s">
        <v>489</v>
      </c>
      <c r="D26" s="443">
        <v>20000</v>
      </c>
      <c r="E26" s="16">
        <v>5000</v>
      </c>
      <c r="F26" s="16">
        <v>15000</v>
      </c>
      <c r="G26" s="16"/>
      <c r="H26" s="22"/>
    </row>
    <row r="27" spans="2:8" x14ac:dyDescent="0.25">
      <c r="B27" s="247">
        <v>21</v>
      </c>
      <c r="C27" s="229" t="s">
        <v>137</v>
      </c>
      <c r="D27" s="442"/>
      <c r="E27" s="230">
        <v>5000</v>
      </c>
      <c r="F27" s="230">
        <v>5000</v>
      </c>
      <c r="G27" s="231">
        <v>5000</v>
      </c>
      <c r="H27" s="232">
        <v>5000</v>
      </c>
    </row>
    <row r="28" spans="2:8" ht="15.75" thickBot="1" x14ac:dyDescent="0.3">
      <c r="B28" s="410"/>
      <c r="C28" s="411" t="s">
        <v>7</v>
      </c>
      <c r="D28" s="447"/>
      <c r="E28" s="412">
        <v>161350</v>
      </c>
      <c r="F28" s="412">
        <v>145900</v>
      </c>
      <c r="G28" s="412">
        <v>145700</v>
      </c>
      <c r="H28" s="413">
        <v>157500</v>
      </c>
    </row>
    <row r="29" spans="2:8" ht="15.75" thickBot="1" x14ac:dyDescent="0.3">
      <c r="B29"/>
      <c r="C29"/>
      <c r="D29" s="445"/>
      <c r="E29"/>
      <c r="F29"/>
      <c r="G29"/>
      <c r="H29"/>
    </row>
    <row r="30" spans="2:8" x14ac:dyDescent="0.25">
      <c r="B30" s="414"/>
      <c r="C30" s="406" t="s">
        <v>8</v>
      </c>
      <c r="D30" s="446"/>
      <c r="E30" s="415"/>
      <c r="F30" s="415"/>
      <c r="G30" s="416"/>
      <c r="H30" s="417"/>
    </row>
    <row r="31" spans="2:8" x14ac:dyDescent="0.25">
      <c r="B31" s="247">
        <v>22</v>
      </c>
      <c r="C31" s="229" t="s">
        <v>246</v>
      </c>
      <c r="D31" s="448">
        <v>270000</v>
      </c>
      <c r="E31" s="235">
        <v>10000</v>
      </c>
      <c r="F31" s="235">
        <v>62000</v>
      </c>
      <c r="G31" s="236">
        <v>100000</v>
      </c>
      <c r="H31" s="237">
        <v>92400</v>
      </c>
    </row>
    <row r="32" spans="2:8" x14ac:dyDescent="0.25">
      <c r="B32" s="233">
        <v>23</v>
      </c>
      <c r="C32" s="224" t="s">
        <v>348</v>
      </c>
      <c r="D32" s="449">
        <v>286000</v>
      </c>
      <c r="E32" s="221">
        <v>5000</v>
      </c>
      <c r="F32" s="221">
        <v>10000</v>
      </c>
      <c r="G32" s="222">
        <v>105000</v>
      </c>
      <c r="H32" s="223">
        <v>105000</v>
      </c>
    </row>
    <row r="33" spans="2:8" x14ac:dyDescent="0.25">
      <c r="B33" s="247">
        <v>24</v>
      </c>
      <c r="C33" s="229" t="s">
        <v>9</v>
      </c>
      <c r="D33" s="448">
        <v>26400</v>
      </c>
      <c r="E33" s="230">
        <v>10000</v>
      </c>
      <c r="F33" s="230">
        <v>0</v>
      </c>
      <c r="G33" s="231" t="s">
        <v>239</v>
      </c>
      <c r="H33" s="232" t="s">
        <v>239</v>
      </c>
    </row>
    <row r="34" spans="2:8" x14ac:dyDescent="0.25">
      <c r="B34" s="233">
        <v>25</v>
      </c>
      <c r="C34" s="224" t="s">
        <v>139</v>
      </c>
      <c r="D34" s="449">
        <v>27000</v>
      </c>
      <c r="E34" s="221">
        <v>12000</v>
      </c>
      <c r="F34" s="221"/>
      <c r="G34" s="222"/>
      <c r="H34" s="223"/>
    </row>
    <row r="35" spans="2:8" x14ac:dyDescent="0.25">
      <c r="B35" s="247">
        <v>26</v>
      </c>
      <c r="C35" s="229" t="s">
        <v>438</v>
      </c>
      <c r="D35" s="448">
        <v>273000</v>
      </c>
      <c r="E35" s="230">
        <v>5000</v>
      </c>
      <c r="F35" s="230">
        <v>10000</v>
      </c>
      <c r="G35" s="231">
        <v>40000</v>
      </c>
      <c r="H35" s="232">
        <v>100000</v>
      </c>
    </row>
    <row r="36" spans="2:8" x14ac:dyDescent="0.25">
      <c r="B36" s="233">
        <v>27</v>
      </c>
      <c r="C36" s="224" t="s">
        <v>248</v>
      </c>
      <c r="D36" s="449">
        <v>25000</v>
      </c>
      <c r="E36" s="221">
        <v>12500</v>
      </c>
      <c r="F36" s="221">
        <v>12500</v>
      </c>
      <c r="G36" s="222"/>
      <c r="H36" s="223"/>
    </row>
    <row r="37" spans="2:8" x14ac:dyDescent="0.25">
      <c r="B37" s="247">
        <v>28</v>
      </c>
      <c r="C37" s="229" t="s">
        <v>350</v>
      </c>
      <c r="D37" s="448">
        <v>185000</v>
      </c>
      <c r="E37" s="230">
        <v>3000</v>
      </c>
      <c r="F37" s="230">
        <v>8000</v>
      </c>
      <c r="G37" s="231">
        <v>40000</v>
      </c>
      <c r="H37" s="232">
        <v>94000</v>
      </c>
    </row>
    <row r="38" spans="2:8" x14ac:dyDescent="0.25">
      <c r="B38" s="233">
        <v>29</v>
      </c>
      <c r="C38" s="224" t="s">
        <v>165</v>
      </c>
      <c r="D38" s="449">
        <v>196000</v>
      </c>
      <c r="E38" s="221"/>
      <c r="F38" s="221"/>
      <c r="G38" s="222">
        <v>2000</v>
      </c>
      <c r="H38" s="223">
        <v>50000</v>
      </c>
    </row>
    <row r="39" spans="2:8" x14ac:dyDescent="0.25">
      <c r="B39" s="247">
        <v>30</v>
      </c>
      <c r="C39" s="229" t="s">
        <v>245</v>
      </c>
      <c r="D39" s="448">
        <v>40500</v>
      </c>
      <c r="E39" s="230">
        <v>19400</v>
      </c>
      <c r="F39" s="230">
        <v>0</v>
      </c>
      <c r="G39" s="231">
        <v>0</v>
      </c>
      <c r="H39" s="232">
        <v>0</v>
      </c>
    </row>
    <row r="40" spans="2:8" x14ac:dyDescent="0.25">
      <c r="B40" s="233">
        <v>31</v>
      </c>
      <c r="C40" s="224" t="s">
        <v>503</v>
      </c>
      <c r="D40" s="449">
        <v>150000</v>
      </c>
      <c r="E40" s="221">
        <v>43000</v>
      </c>
      <c r="F40" s="221">
        <v>91000</v>
      </c>
      <c r="G40" s="222">
        <v>10000</v>
      </c>
      <c r="H40" s="223" t="s">
        <v>239</v>
      </c>
    </row>
    <row r="41" spans="2:8" x14ac:dyDescent="0.25">
      <c r="B41" s="247">
        <v>32</v>
      </c>
      <c r="C41" s="229" t="s">
        <v>12</v>
      </c>
      <c r="D41" s="448"/>
      <c r="E41" s="230">
        <v>2500</v>
      </c>
      <c r="F41" s="230">
        <v>2500</v>
      </c>
      <c r="G41" s="231">
        <v>2500</v>
      </c>
      <c r="H41" s="232">
        <v>2500</v>
      </c>
    </row>
    <row r="42" spans="2:8" x14ac:dyDescent="0.25">
      <c r="B42" s="233">
        <v>33</v>
      </c>
      <c r="C42" s="224" t="s">
        <v>462</v>
      </c>
      <c r="D42" s="449"/>
      <c r="E42" s="221">
        <v>2000</v>
      </c>
      <c r="F42" s="221"/>
      <c r="G42" s="222"/>
      <c r="H42" s="223"/>
    </row>
    <row r="43" spans="2:8" x14ac:dyDescent="0.25">
      <c r="B43" s="247">
        <v>34</v>
      </c>
      <c r="C43" s="229" t="s">
        <v>13</v>
      </c>
      <c r="D43" s="448"/>
      <c r="E43" s="230">
        <v>2500</v>
      </c>
      <c r="F43" s="230">
        <v>2500</v>
      </c>
      <c r="G43" s="231">
        <v>2500</v>
      </c>
      <c r="H43" s="232">
        <v>2500</v>
      </c>
    </row>
    <row r="44" spans="2:8" x14ac:dyDescent="0.25">
      <c r="B44" s="233">
        <v>35</v>
      </c>
      <c r="C44" s="224" t="s">
        <v>477</v>
      </c>
      <c r="D44" s="449"/>
      <c r="E44" s="221">
        <v>2000</v>
      </c>
      <c r="F44" s="221">
        <v>2000</v>
      </c>
      <c r="G44" s="222">
        <v>2000</v>
      </c>
      <c r="H44" s="223">
        <v>0</v>
      </c>
    </row>
    <row r="45" spans="2:8" ht="15.75" thickBot="1" x14ac:dyDescent="0.3">
      <c r="B45" s="418"/>
      <c r="C45" s="279" t="s">
        <v>14</v>
      </c>
      <c r="D45" s="450"/>
      <c r="E45" s="419">
        <v>128900</v>
      </c>
      <c r="F45" s="419">
        <v>200500</v>
      </c>
      <c r="G45" s="419">
        <v>304000</v>
      </c>
      <c r="H45" s="420">
        <v>446400</v>
      </c>
    </row>
    <row r="46" spans="2:8" ht="15.75" thickBot="1" x14ac:dyDescent="0.3">
      <c r="B46"/>
      <c r="C46"/>
      <c r="D46" s="445"/>
      <c r="E46"/>
      <c r="F46"/>
      <c r="G46"/>
      <c r="H46"/>
    </row>
    <row r="47" spans="2:8" x14ac:dyDescent="0.25">
      <c r="B47" s="421"/>
      <c r="C47" s="406" t="s">
        <v>15</v>
      </c>
      <c r="D47" s="446"/>
      <c r="E47" s="415"/>
      <c r="F47" s="415"/>
      <c r="G47" s="416"/>
      <c r="H47" s="417"/>
    </row>
    <row r="48" spans="2:8" x14ac:dyDescent="0.25">
      <c r="B48" s="247">
        <v>36</v>
      </c>
      <c r="C48" s="229" t="s">
        <v>459</v>
      </c>
      <c r="D48" s="448">
        <v>36000</v>
      </c>
      <c r="E48" s="230">
        <v>15000</v>
      </c>
      <c r="F48" s="230">
        <v>17500</v>
      </c>
      <c r="G48" s="231"/>
      <c r="H48" s="232"/>
    </row>
    <row r="49" spans="2:8" x14ac:dyDescent="0.25">
      <c r="B49" s="233">
        <v>37</v>
      </c>
      <c r="C49" s="224" t="s">
        <v>436</v>
      </c>
      <c r="D49" s="449">
        <v>47000</v>
      </c>
      <c r="E49" s="221">
        <v>3000</v>
      </c>
      <c r="F49" s="221">
        <v>21000</v>
      </c>
      <c r="G49" s="222">
        <v>20000</v>
      </c>
      <c r="H49" s="223"/>
    </row>
    <row r="50" spans="2:8" x14ac:dyDescent="0.25">
      <c r="B50" s="247">
        <v>38</v>
      </c>
      <c r="C50" s="229" t="s">
        <v>460</v>
      </c>
      <c r="D50" s="448">
        <v>45000</v>
      </c>
      <c r="E50" s="230">
        <v>5000</v>
      </c>
      <c r="F50" s="230">
        <v>18000</v>
      </c>
      <c r="G50" s="231">
        <v>10800</v>
      </c>
      <c r="H50" s="232" t="s">
        <v>239</v>
      </c>
    </row>
    <row r="51" spans="2:8" x14ac:dyDescent="0.25">
      <c r="B51" s="233">
        <v>39</v>
      </c>
      <c r="C51" s="224" t="s">
        <v>490</v>
      </c>
      <c r="D51" s="449">
        <v>20000</v>
      </c>
      <c r="E51" s="221">
        <v>0</v>
      </c>
      <c r="F51" s="221">
        <v>2000</v>
      </c>
      <c r="G51" s="222">
        <v>15000</v>
      </c>
      <c r="H51" s="223">
        <v>3000</v>
      </c>
    </row>
    <row r="52" spans="2:8" x14ac:dyDescent="0.25">
      <c r="B52" s="247">
        <v>40</v>
      </c>
      <c r="C52" s="229" t="s">
        <v>16</v>
      </c>
      <c r="D52" s="448">
        <v>0</v>
      </c>
      <c r="E52" s="230">
        <v>2000</v>
      </c>
      <c r="F52" s="230">
        <v>2000</v>
      </c>
      <c r="G52" s="231">
        <v>2000</v>
      </c>
      <c r="H52" s="232">
        <v>2000</v>
      </c>
    </row>
    <row r="53" spans="2:8" x14ac:dyDescent="0.25">
      <c r="B53" s="233">
        <v>41</v>
      </c>
      <c r="C53" s="224" t="s">
        <v>17</v>
      </c>
      <c r="D53" s="449">
        <v>0</v>
      </c>
      <c r="E53" s="221">
        <v>1000</v>
      </c>
      <c r="F53" s="221">
        <v>2000</v>
      </c>
      <c r="G53" s="222">
        <v>1000</v>
      </c>
      <c r="H53" s="223">
        <v>1000</v>
      </c>
    </row>
    <row r="54" spans="2:8" x14ac:dyDescent="0.25">
      <c r="B54" s="247">
        <v>42</v>
      </c>
      <c r="C54" s="114" t="s">
        <v>491</v>
      </c>
      <c r="D54" s="444">
        <v>12000</v>
      </c>
      <c r="E54" s="11">
        <v>6000</v>
      </c>
      <c r="F54" s="11">
        <v>6000</v>
      </c>
      <c r="G54" s="12"/>
      <c r="H54" s="13"/>
    </row>
    <row r="55" spans="2:8" x14ac:dyDescent="0.25">
      <c r="B55" s="233">
        <v>43</v>
      </c>
      <c r="C55" s="224" t="s">
        <v>492</v>
      </c>
      <c r="D55" s="449">
        <v>60000</v>
      </c>
      <c r="E55" s="221" t="s">
        <v>239</v>
      </c>
      <c r="F55" s="221">
        <v>1000</v>
      </c>
      <c r="G55" s="222">
        <v>20000</v>
      </c>
      <c r="H55" s="223">
        <v>39000</v>
      </c>
    </row>
    <row r="56" spans="2:8" x14ac:dyDescent="0.25">
      <c r="B56" s="247">
        <v>44</v>
      </c>
      <c r="C56" s="229" t="s">
        <v>493</v>
      </c>
      <c r="D56" s="448">
        <v>50000</v>
      </c>
      <c r="E56" s="230" t="s">
        <v>239</v>
      </c>
      <c r="F56" s="230">
        <v>1000</v>
      </c>
      <c r="G56" s="231">
        <v>20000</v>
      </c>
      <c r="H56" s="232">
        <v>29000</v>
      </c>
    </row>
    <row r="57" spans="2:8" x14ac:dyDescent="0.25">
      <c r="B57" s="233">
        <v>45</v>
      </c>
      <c r="C57" s="224" t="s">
        <v>470</v>
      </c>
      <c r="D57" s="449">
        <v>30000</v>
      </c>
      <c r="E57" s="221">
        <v>5000</v>
      </c>
      <c r="F57" s="221">
        <v>5000</v>
      </c>
      <c r="G57" s="222">
        <v>10000</v>
      </c>
      <c r="H57" s="223">
        <v>10000</v>
      </c>
    </row>
    <row r="58" spans="2:8" ht="15.75" thickBot="1" x14ac:dyDescent="0.3">
      <c r="B58" s="422"/>
      <c r="C58" s="279" t="s">
        <v>18</v>
      </c>
      <c r="D58" s="450"/>
      <c r="E58" s="419">
        <v>37000</v>
      </c>
      <c r="F58" s="419">
        <v>75500</v>
      </c>
      <c r="G58" s="419">
        <v>98800</v>
      </c>
      <c r="H58" s="420">
        <v>84000</v>
      </c>
    </row>
    <row r="59" spans="2:8" ht="15.75" thickBot="1" x14ac:dyDescent="0.3">
      <c r="B59"/>
      <c r="C59"/>
      <c r="D59" s="445"/>
      <c r="E59"/>
      <c r="F59"/>
      <c r="G59"/>
      <c r="H59"/>
    </row>
    <row r="60" spans="2:8" x14ac:dyDescent="0.25">
      <c r="B60" s="414"/>
      <c r="C60" s="406" t="s">
        <v>509</v>
      </c>
      <c r="D60" s="446"/>
      <c r="E60" s="415"/>
      <c r="F60" s="415"/>
      <c r="G60" s="416"/>
      <c r="H60" s="417"/>
    </row>
    <row r="61" spans="2:8" x14ac:dyDescent="0.25">
      <c r="B61" s="233">
        <v>46</v>
      </c>
      <c r="C61" s="224" t="s">
        <v>363</v>
      </c>
      <c r="D61" s="449">
        <v>90000</v>
      </c>
      <c r="E61" s="221">
        <v>37500</v>
      </c>
      <c r="F61" s="221">
        <v>50200</v>
      </c>
      <c r="G61" s="222"/>
      <c r="H61" s="223"/>
    </row>
    <row r="62" spans="2:8" x14ac:dyDescent="0.25">
      <c r="B62" s="247">
        <v>47</v>
      </c>
      <c r="C62" s="229" t="s">
        <v>504</v>
      </c>
      <c r="D62" s="448">
        <v>52000</v>
      </c>
      <c r="E62" s="235">
        <v>21000</v>
      </c>
      <c r="F62" s="235"/>
      <c r="G62" s="236"/>
      <c r="H62" s="237"/>
    </row>
    <row r="63" spans="2:8" x14ac:dyDescent="0.25">
      <c r="B63" s="233">
        <v>48</v>
      </c>
      <c r="C63" s="224" t="s">
        <v>172</v>
      </c>
      <c r="D63" s="449">
        <v>474000</v>
      </c>
      <c r="E63" s="221">
        <v>39250</v>
      </c>
      <c r="F63" s="221"/>
      <c r="G63" s="222"/>
      <c r="H63" s="223"/>
    </row>
    <row r="64" spans="2:8" x14ac:dyDescent="0.25">
      <c r="B64" s="247">
        <v>49</v>
      </c>
      <c r="C64" s="229" t="s">
        <v>364</v>
      </c>
      <c r="D64" s="448">
        <v>60000</v>
      </c>
      <c r="E64" s="235">
        <v>14500</v>
      </c>
      <c r="F64" s="235">
        <v>40000</v>
      </c>
      <c r="G64" s="236">
        <v>4850</v>
      </c>
      <c r="H64" s="237"/>
    </row>
    <row r="65" spans="2:8" x14ac:dyDescent="0.25">
      <c r="B65" s="233">
        <v>50</v>
      </c>
      <c r="C65" s="224" t="s">
        <v>469</v>
      </c>
      <c r="D65" s="449">
        <v>7500</v>
      </c>
      <c r="E65" s="221">
        <v>6600</v>
      </c>
      <c r="F65" s="221"/>
      <c r="G65" s="222"/>
      <c r="H65" s="223"/>
    </row>
    <row r="66" spans="2:8" x14ac:dyDescent="0.25">
      <c r="B66" s="247">
        <v>51</v>
      </c>
      <c r="C66" s="229" t="s">
        <v>133</v>
      </c>
      <c r="D66" s="448"/>
      <c r="E66" s="235">
        <v>3000</v>
      </c>
      <c r="F66" s="235">
        <v>4000</v>
      </c>
      <c r="G66" s="236">
        <v>4000</v>
      </c>
      <c r="H66" s="237">
        <v>4000</v>
      </c>
    </row>
    <row r="67" spans="2:8" x14ac:dyDescent="0.25">
      <c r="B67" s="233">
        <v>52</v>
      </c>
      <c r="C67" s="224" t="s">
        <v>22</v>
      </c>
      <c r="D67" s="449"/>
      <c r="E67" s="221">
        <v>1000</v>
      </c>
      <c r="F67" s="221">
        <v>1000</v>
      </c>
      <c r="G67" s="222">
        <v>1000</v>
      </c>
      <c r="H67" s="223">
        <v>1000</v>
      </c>
    </row>
    <row r="68" spans="2:8" x14ac:dyDescent="0.25">
      <c r="B68" s="247">
        <v>53</v>
      </c>
      <c r="C68" s="229" t="s">
        <v>250</v>
      </c>
      <c r="D68" s="448">
        <v>25000</v>
      </c>
      <c r="E68" s="235">
        <v>20400</v>
      </c>
      <c r="F68" s="235"/>
      <c r="G68" s="236"/>
      <c r="H68" s="237"/>
    </row>
    <row r="69" spans="2:8" x14ac:dyDescent="0.25">
      <c r="B69" s="233">
        <v>54</v>
      </c>
      <c r="C69" s="224" t="s">
        <v>332</v>
      </c>
      <c r="D69" s="449">
        <v>26500</v>
      </c>
      <c r="E69" s="221">
        <v>6800</v>
      </c>
      <c r="F69" s="221"/>
      <c r="G69" s="222"/>
      <c r="H69" s="223"/>
    </row>
    <row r="70" spans="2:8" x14ac:dyDescent="0.25">
      <c r="B70" s="247">
        <v>55</v>
      </c>
      <c r="C70" s="229" t="s">
        <v>97</v>
      </c>
      <c r="D70" s="448"/>
      <c r="E70" s="235">
        <v>1500</v>
      </c>
      <c r="F70" s="235">
        <v>1500</v>
      </c>
      <c r="G70" s="236">
        <v>1500</v>
      </c>
      <c r="H70" s="237">
        <v>1500</v>
      </c>
    </row>
    <row r="71" spans="2:8" x14ac:dyDescent="0.25">
      <c r="B71" s="233">
        <v>56</v>
      </c>
      <c r="C71" s="224" t="s">
        <v>494</v>
      </c>
      <c r="D71" s="449">
        <v>2000</v>
      </c>
      <c r="E71" s="221">
        <v>2000</v>
      </c>
      <c r="F71" s="221"/>
      <c r="G71" s="222"/>
      <c r="H71" s="223"/>
    </row>
    <row r="72" spans="2:8" x14ac:dyDescent="0.25">
      <c r="B72" s="247">
        <v>57</v>
      </c>
      <c r="C72" s="229" t="s">
        <v>471</v>
      </c>
      <c r="D72" s="448">
        <v>27000</v>
      </c>
      <c r="E72" s="235">
        <v>27000</v>
      </c>
      <c r="F72" s="235"/>
      <c r="G72" s="236"/>
      <c r="H72" s="237"/>
    </row>
    <row r="73" spans="2:8" x14ac:dyDescent="0.25">
      <c r="B73" s="233">
        <v>58</v>
      </c>
      <c r="C73" s="224" t="s">
        <v>479</v>
      </c>
      <c r="D73" s="449"/>
      <c r="E73" s="221">
        <v>5000</v>
      </c>
      <c r="F73" s="221">
        <v>5000</v>
      </c>
      <c r="G73" s="222">
        <v>5000</v>
      </c>
      <c r="H73" s="223">
        <v>5000</v>
      </c>
    </row>
    <row r="74" spans="2:8" x14ac:dyDescent="0.25">
      <c r="B74" s="247">
        <v>59</v>
      </c>
      <c r="C74" s="229" t="s">
        <v>472</v>
      </c>
      <c r="D74" s="448"/>
      <c r="E74" s="235"/>
      <c r="F74" s="235"/>
      <c r="G74" s="236">
        <v>2000</v>
      </c>
      <c r="H74" s="237">
        <v>2000</v>
      </c>
    </row>
    <row r="75" spans="2:8" x14ac:dyDescent="0.25">
      <c r="B75" s="233">
        <v>60</v>
      </c>
      <c r="C75" s="224" t="s">
        <v>473</v>
      </c>
      <c r="D75" s="449"/>
      <c r="E75" s="221">
        <v>3000</v>
      </c>
      <c r="F75" s="221"/>
      <c r="G75" s="222"/>
      <c r="H75" s="223"/>
    </row>
    <row r="76" spans="2:8" ht="15.75" thickBot="1" x14ac:dyDescent="0.3">
      <c r="B76" s="422"/>
      <c r="C76" s="279" t="s">
        <v>23</v>
      </c>
      <c r="D76" s="450"/>
      <c r="E76" s="419">
        <v>188550</v>
      </c>
      <c r="F76" s="419">
        <v>101700</v>
      </c>
      <c r="G76" s="419">
        <v>18350</v>
      </c>
      <c r="H76" s="420">
        <v>13500</v>
      </c>
    </row>
    <row r="77" spans="2:8" ht="7.5" customHeight="1" thickBot="1" x14ac:dyDescent="0.3">
      <c r="B77"/>
      <c r="C77"/>
      <c r="D77" s="445"/>
      <c r="E77"/>
      <c r="F77"/>
      <c r="G77"/>
      <c r="H77"/>
    </row>
    <row r="78" spans="2:8" x14ac:dyDescent="0.25">
      <c r="B78" s="414"/>
      <c r="C78" s="406" t="s">
        <v>24</v>
      </c>
      <c r="D78" s="446"/>
      <c r="E78" s="415"/>
      <c r="F78" s="415"/>
      <c r="G78" s="416"/>
      <c r="H78" s="417"/>
    </row>
    <row r="79" spans="2:8" x14ac:dyDescent="0.25">
      <c r="B79" s="247">
        <v>61</v>
      </c>
      <c r="C79" s="229" t="s">
        <v>25</v>
      </c>
      <c r="E79" s="11">
        <v>500</v>
      </c>
      <c r="F79" s="11">
        <v>500</v>
      </c>
      <c r="G79" s="12">
        <v>500</v>
      </c>
      <c r="H79" s="13">
        <v>500</v>
      </c>
    </row>
    <row r="80" spans="2:8" x14ac:dyDescent="0.25">
      <c r="B80" s="233">
        <v>62</v>
      </c>
      <c r="C80" s="224" t="s">
        <v>439</v>
      </c>
      <c r="D80" s="449">
        <v>67000</v>
      </c>
      <c r="E80" s="221"/>
      <c r="F80" s="221">
        <v>2000</v>
      </c>
      <c r="G80" s="222">
        <v>40000</v>
      </c>
      <c r="H80" s="223">
        <v>25000</v>
      </c>
    </row>
    <row r="81" spans="2:8" x14ac:dyDescent="0.25">
      <c r="B81" s="247">
        <v>63</v>
      </c>
      <c r="C81" s="248" t="s">
        <v>242</v>
      </c>
      <c r="D81" s="451">
        <v>40000</v>
      </c>
      <c r="E81" s="249">
        <v>15000</v>
      </c>
      <c r="F81" s="249">
        <v>20000</v>
      </c>
      <c r="G81" s="250"/>
      <c r="H81" s="251"/>
    </row>
    <row r="82" spans="2:8" x14ac:dyDescent="0.25">
      <c r="B82" s="233">
        <v>64</v>
      </c>
      <c r="C82" s="224" t="s">
        <v>500</v>
      </c>
      <c r="D82" s="449">
        <v>88200</v>
      </c>
      <c r="E82" s="221">
        <v>52500</v>
      </c>
      <c r="F82" s="221"/>
      <c r="G82" s="222"/>
      <c r="H82" s="223"/>
    </row>
    <row r="83" spans="2:8" x14ac:dyDescent="0.25">
      <c r="B83" s="247">
        <v>65</v>
      </c>
      <c r="C83" s="248" t="s">
        <v>501</v>
      </c>
      <c r="D83" s="451">
        <v>16000</v>
      </c>
      <c r="E83" s="249"/>
      <c r="F83" s="249"/>
      <c r="G83" s="250">
        <v>1500</v>
      </c>
      <c r="H83" s="251">
        <v>14500</v>
      </c>
    </row>
    <row r="84" spans="2:8" x14ac:dyDescent="0.25">
      <c r="B84" s="233">
        <v>66</v>
      </c>
      <c r="C84" s="224" t="s">
        <v>502</v>
      </c>
      <c r="D84" s="449">
        <v>54000</v>
      </c>
      <c r="E84" s="221">
        <v>5000</v>
      </c>
      <c r="F84" s="221">
        <v>10000</v>
      </c>
      <c r="G84" s="222">
        <v>19000</v>
      </c>
      <c r="H84" s="223">
        <v>20000</v>
      </c>
    </row>
    <row r="85" spans="2:8" x14ac:dyDescent="0.25">
      <c r="B85" s="247">
        <v>67</v>
      </c>
      <c r="C85" s="248" t="s">
        <v>27</v>
      </c>
      <c r="D85" s="451">
        <v>40000</v>
      </c>
      <c r="E85" s="249">
        <v>8400</v>
      </c>
      <c r="F85" s="249">
        <v>13000</v>
      </c>
      <c r="G85" s="250"/>
      <c r="H85" s="251"/>
    </row>
    <row r="86" spans="2:8" x14ac:dyDescent="0.25">
      <c r="B86" s="233">
        <v>68</v>
      </c>
      <c r="C86" s="224" t="s">
        <v>499</v>
      </c>
      <c r="D86" s="449">
        <v>267300</v>
      </c>
      <c r="E86" s="221">
        <v>101000</v>
      </c>
      <c r="F86" s="221">
        <v>49100</v>
      </c>
      <c r="G86" s="222"/>
      <c r="H86" s="223"/>
    </row>
    <row r="87" spans="2:8" ht="15.75" thickBot="1" x14ac:dyDescent="0.3">
      <c r="B87" s="410"/>
      <c r="C87" s="279" t="s">
        <v>32</v>
      </c>
      <c r="D87" s="450"/>
      <c r="E87" s="419">
        <v>182400</v>
      </c>
      <c r="F87" s="419">
        <v>94600</v>
      </c>
      <c r="G87" s="419">
        <v>61000</v>
      </c>
      <c r="H87" s="420">
        <v>60000</v>
      </c>
    </row>
    <row r="88" spans="2:8" hidden="1" x14ac:dyDescent="0.25">
      <c r="B88" s="244"/>
      <c r="C88" s="226"/>
      <c r="D88" s="452"/>
      <c r="E88" s="51"/>
      <c r="F88" s="51"/>
      <c r="G88" s="51"/>
      <c r="H88" s="98"/>
    </row>
    <row r="89" spans="2:8" hidden="1" x14ac:dyDescent="0.25">
      <c r="B89" s="423"/>
      <c r="C89" s="258"/>
      <c r="D89" s="449"/>
      <c r="E89" s="210"/>
      <c r="F89" s="210"/>
      <c r="G89" s="210"/>
      <c r="H89" s="214"/>
    </row>
    <row r="90" spans="2:8" ht="15.75" hidden="1" thickBot="1" x14ac:dyDescent="0.3">
      <c r="B90" s="424" t="s">
        <v>241</v>
      </c>
      <c r="C90" s="279" t="s">
        <v>34</v>
      </c>
      <c r="D90" s="453">
        <v>0</v>
      </c>
      <c r="E90" s="425">
        <v>698200</v>
      </c>
      <c r="F90" s="425">
        <v>618200</v>
      </c>
      <c r="G90" s="425">
        <v>627850</v>
      </c>
      <c r="H90" s="426">
        <v>761400</v>
      </c>
    </row>
    <row r="91" spans="2:8" ht="15.75" thickBot="1" x14ac:dyDescent="0.3">
      <c r="B91"/>
      <c r="C91"/>
      <c r="D91" s="445"/>
      <c r="E91"/>
      <c r="F91"/>
      <c r="G91"/>
      <c r="H91"/>
    </row>
    <row r="92" spans="2:8" x14ac:dyDescent="0.25">
      <c r="B92" s="414"/>
      <c r="C92" s="406" t="s">
        <v>42</v>
      </c>
      <c r="D92" s="446"/>
      <c r="E92" s="415"/>
      <c r="F92" s="415"/>
      <c r="G92" s="416"/>
      <c r="H92" s="417"/>
    </row>
    <row r="93" spans="2:8" x14ac:dyDescent="0.25">
      <c r="B93" s="239">
        <v>69</v>
      </c>
      <c r="C93" s="114" t="s">
        <v>43</v>
      </c>
      <c r="E93" s="11">
        <v>600</v>
      </c>
      <c r="F93" s="11">
        <v>600</v>
      </c>
      <c r="G93" s="12">
        <v>600</v>
      </c>
      <c r="H93" s="13">
        <v>600</v>
      </c>
    </row>
    <row r="94" spans="2:8" x14ac:dyDescent="0.25">
      <c r="B94" s="240">
        <v>70</v>
      </c>
      <c r="C94" s="70" t="s">
        <v>188</v>
      </c>
      <c r="D94" s="454"/>
      <c r="E94" s="16">
        <v>2400</v>
      </c>
      <c r="F94" s="16">
        <v>2500</v>
      </c>
      <c r="G94" s="17">
        <v>2500</v>
      </c>
      <c r="H94" s="18">
        <v>2500</v>
      </c>
    </row>
    <row r="95" spans="2:8" x14ac:dyDescent="0.25">
      <c r="B95" s="239">
        <v>71</v>
      </c>
      <c r="C95" s="114" t="s">
        <v>44</v>
      </c>
      <c r="E95" s="11">
        <v>32000</v>
      </c>
      <c r="F95" s="11">
        <v>35000</v>
      </c>
      <c r="G95" s="12">
        <v>35000</v>
      </c>
      <c r="H95" s="13">
        <v>35000</v>
      </c>
    </row>
    <row r="96" spans="2:8" x14ac:dyDescent="0.25">
      <c r="B96" s="240">
        <v>72</v>
      </c>
      <c r="C96" s="70" t="s">
        <v>45</v>
      </c>
      <c r="D96" s="454"/>
      <c r="E96" s="16">
        <v>3000</v>
      </c>
      <c r="F96" s="16">
        <v>3000</v>
      </c>
      <c r="G96" s="17">
        <v>3000</v>
      </c>
      <c r="H96" s="18">
        <v>3000</v>
      </c>
    </row>
    <row r="97" spans="2:8" x14ac:dyDescent="0.25">
      <c r="B97" s="239">
        <v>73</v>
      </c>
      <c r="C97" s="114" t="s">
        <v>46</v>
      </c>
      <c r="E97" s="11">
        <v>2000</v>
      </c>
      <c r="F97" s="11">
        <v>2000</v>
      </c>
      <c r="G97" s="12">
        <v>2000</v>
      </c>
      <c r="H97" s="13">
        <v>2000</v>
      </c>
    </row>
    <row r="98" spans="2:8" x14ac:dyDescent="0.25">
      <c r="B98" s="240">
        <v>74</v>
      </c>
      <c r="C98" s="70" t="s">
        <v>47</v>
      </c>
      <c r="D98" s="454">
        <v>20000</v>
      </c>
      <c r="E98" s="16">
        <v>14000</v>
      </c>
      <c r="F98" s="16"/>
      <c r="G98" s="17"/>
      <c r="H98" s="18"/>
    </row>
    <row r="99" spans="2:8" x14ac:dyDescent="0.25">
      <c r="B99" s="239">
        <v>75</v>
      </c>
      <c r="C99" s="114" t="s">
        <v>48</v>
      </c>
      <c r="E99" s="11">
        <v>15000</v>
      </c>
      <c r="F99" s="11">
        <v>10000</v>
      </c>
      <c r="G99" s="12">
        <v>10000</v>
      </c>
      <c r="H99" s="13">
        <v>10000</v>
      </c>
    </row>
    <row r="100" spans="2:8" x14ac:dyDescent="0.25">
      <c r="B100" s="240">
        <v>76</v>
      </c>
      <c r="C100" s="70" t="s">
        <v>49</v>
      </c>
      <c r="D100" s="454"/>
      <c r="E100" s="16">
        <v>2000</v>
      </c>
      <c r="F100" s="16">
        <v>2000</v>
      </c>
      <c r="G100" s="17">
        <v>2000</v>
      </c>
      <c r="H100" s="18">
        <v>2000</v>
      </c>
    </row>
    <row r="101" spans="2:8" x14ac:dyDescent="0.25">
      <c r="B101" s="239">
        <v>77</v>
      </c>
      <c r="C101" s="114" t="s">
        <v>51</v>
      </c>
      <c r="E101" s="11"/>
      <c r="F101" s="11">
        <v>650</v>
      </c>
      <c r="G101" s="12"/>
      <c r="H101" s="13"/>
    </row>
    <row r="102" spans="2:8" x14ac:dyDescent="0.25">
      <c r="B102" s="240">
        <v>78</v>
      </c>
      <c r="C102" s="70" t="s">
        <v>305</v>
      </c>
      <c r="D102" s="454"/>
      <c r="E102" s="16"/>
      <c r="F102" s="16">
        <v>650</v>
      </c>
      <c r="G102" s="17">
        <v>650</v>
      </c>
      <c r="H102" s="18"/>
    </row>
    <row r="103" spans="2:8" ht="15.75" thickBot="1" x14ac:dyDescent="0.3">
      <c r="B103" s="397"/>
      <c r="C103" s="398" t="s">
        <v>53</v>
      </c>
      <c r="D103" s="453"/>
      <c r="E103" s="425">
        <v>71000</v>
      </c>
      <c r="F103" s="425">
        <v>56400</v>
      </c>
      <c r="G103" s="425">
        <v>55750</v>
      </c>
      <c r="H103" s="426">
        <v>55100</v>
      </c>
    </row>
    <row r="104" spans="2:8" ht="15.75" thickBot="1" x14ac:dyDescent="0.3">
      <c r="B104"/>
      <c r="C104"/>
      <c r="D104" s="445"/>
      <c r="E104"/>
      <c r="F104"/>
      <c r="G104"/>
      <c r="H104"/>
    </row>
    <row r="105" spans="2:8" x14ac:dyDescent="0.25">
      <c r="B105" s="414"/>
      <c r="C105" s="406" t="s">
        <v>54</v>
      </c>
      <c r="D105" s="446"/>
      <c r="E105" s="415"/>
      <c r="F105" s="415"/>
      <c r="G105" s="416"/>
      <c r="H105" s="417"/>
    </row>
    <row r="106" spans="2:8" x14ac:dyDescent="0.25">
      <c r="B106" s="240">
        <v>79</v>
      </c>
      <c r="C106" s="70" t="s">
        <v>55</v>
      </c>
      <c r="D106" s="454"/>
      <c r="E106" s="16">
        <v>9000</v>
      </c>
      <c r="F106" s="16">
        <v>10000</v>
      </c>
      <c r="G106" s="17">
        <v>10000</v>
      </c>
      <c r="H106" s="18">
        <v>10000</v>
      </c>
    </row>
    <row r="107" spans="2:8" x14ac:dyDescent="0.25">
      <c r="B107" s="239">
        <v>80</v>
      </c>
      <c r="C107" s="114" t="s">
        <v>56</v>
      </c>
      <c r="E107" s="11">
        <v>40000</v>
      </c>
      <c r="F107" s="11">
        <v>45000</v>
      </c>
      <c r="G107" s="12">
        <v>45000</v>
      </c>
      <c r="H107" s="13">
        <v>45000</v>
      </c>
    </row>
    <row r="108" spans="2:8" x14ac:dyDescent="0.25">
      <c r="B108" s="240">
        <v>81</v>
      </c>
      <c r="C108" s="70" t="s">
        <v>47</v>
      </c>
      <c r="D108" s="454">
        <v>20000</v>
      </c>
      <c r="E108" s="16">
        <v>16600</v>
      </c>
      <c r="F108" s="16"/>
      <c r="G108" s="17"/>
      <c r="H108" s="18"/>
    </row>
    <row r="109" spans="2:8" x14ac:dyDescent="0.25">
      <c r="B109" s="239">
        <v>82</v>
      </c>
      <c r="C109" s="229" t="s">
        <v>57</v>
      </c>
      <c r="D109" s="448"/>
      <c r="E109" s="230">
        <v>25000</v>
      </c>
      <c r="F109" s="230">
        <v>25000</v>
      </c>
      <c r="G109" s="231">
        <v>20000</v>
      </c>
      <c r="H109" s="232">
        <v>20000</v>
      </c>
    </row>
    <row r="110" spans="2:8" x14ac:dyDescent="0.25">
      <c r="B110" s="240">
        <v>83</v>
      </c>
      <c r="C110" s="70" t="s">
        <v>46</v>
      </c>
      <c r="D110" s="454"/>
      <c r="E110" s="16">
        <v>5000</v>
      </c>
      <c r="F110" s="16">
        <v>5000</v>
      </c>
      <c r="G110" s="17">
        <v>5000</v>
      </c>
      <c r="H110" s="18">
        <v>5000</v>
      </c>
    </row>
    <row r="111" spans="2:8" x14ac:dyDescent="0.25">
      <c r="B111" s="239">
        <v>84</v>
      </c>
      <c r="C111" s="114" t="s">
        <v>49</v>
      </c>
      <c r="E111" s="11">
        <v>2500</v>
      </c>
      <c r="F111" s="11">
        <v>2500</v>
      </c>
      <c r="G111" s="12">
        <v>2500</v>
      </c>
      <c r="H111" s="13">
        <v>2500</v>
      </c>
    </row>
    <row r="112" spans="2:8" x14ac:dyDescent="0.25">
      <c r="B112" s="240">
        <v>85</v>
      </c>
      <c r="C112" s="70" t="s">
        <v>306</v>
      </c>
      <c r="D112" s="454"/>
      <c r="E112" s="16"/>
      <c r="F112" s="16">
        <v>1300</v>
      </c>
      <c r="G112" s="17"/>
      <c r="H112" s="18"/>
    </row>
    <row r="113" spans="2:8" x14ac:dyDescent="0.25">
      <c r="B113" s="239">
        <v>86</v>
      </c>
      <c r="C113" s="114" t="s">
        <v>307</v>
      </c>
      <c r="E113" s="11"/>
      <c r="F113" s="11">
        <v>1500</v>
      </c>
      <c r="G113" s="12"/>
      <c r="H113" s="13"/>
    </row>
    <row r="114" spans="2:8" x14ac:dyDescent="0.25">
      <c r="B114" s="240">
        <v>87</v>
      </c>
      <c r="C114" s="70" t="s">
        <v>308</v>
      </c>
      <c r="D114" s="454"/>
      <c r="E114" s="16"/>
      <c r="F114" s="16"/>
      <c r="G114" s="17">
        <v>2500</v>
      </c>
      <c r="H114" s="18"/>
    </row>
    <row r="115" spans="2:8" x14ac:dyDescent="0.25">
      <c r="B115" s="239">
        <v>88</v>
      </c>
      <c r="C115" s="114" t="s">
        <v>309</v>
      </c>
      <c r="E115" s="11"/>
      <c r="F115" s="11"/>
      <c r="G115" s="12"/>
      <c r="H115" s="13">
        <v>3500</v>
      </c>
    </row>
    <row r="116" spans="2:8" ht="15.75" thickBot="1" x14ac:dyDescent="0.3">
      <c r="B116" s="397"/>
      <c r="C116" s="398" t="s">
        <v>60</v>
      </c>
      <c r="D116" s="453"/>
      <c r="E116" s="425">
        <v>98100</v>
      </c>
      <c r="F116" s="425">
        <v>90300</v>
      </c>
      <c r="G116" s="425">
        <v>85000</v>
      </c>
      <c r="H116" s="426">
        <v>86000</v>
      </c>
    </row>
    <row r="117" spans="2:8" ht="15.75" thickBot="1" x14ac:dyDescent="0.3">
      <c r="B117"/>
      <c r="C117"/>
      <c r="D117" s="445"/>
      <c r="E117"/>
      <c r="F117"/>
      <c r="G117"/>
      <c r="H117"/>
    </row>
    <row r="118" spans="2:8" x14ac:dyDescent="0.25">
      <c r="B118" s="414"/>
      <c r="C118" s="406" t="s">
        <v>61</v>
      </c>
      <c r="D118" s="446"/>
      <c r="E118" s="415"/>
      <c r="F118" s="415"/>
      <c r="G118" s="415"/>
      <c r="H118" s="427"/>
    </row>
    <row r="119" spans="2:8" x14ac:dyDescent="0.25">
      <c r="B119" s="273">
        <v>89</v>
      </c>
      <c r="C119" s="114" t="s">
        <v>62</v>
      </c>
      <c r="E119" s="11">
        <v>2000</v>
      </c>
      <c r="F119" s="11">
        <v>1500</v>
      </c>
      <c r="G119" s="12">
        <v>1500</v>
      </c>
      <c r="H119" s="13">
        <v>1500</v>
      </c>
    </row>
    <row r="120" spans="2:8" x14ac:dyDescent="0.25">
      <c r="B120" s="234">
        <v>90</v>
      </c>
      <c r="C120" s="70" t="s">
        <v>63</v>
      </c>
      <c r="D120" s="454"/>
      <c r="E120" s="16">
        <v>2000</v>
      </c>
      <c r="F120" s="16">
        <v>2000</v>
      </c>
      <c r="G120" s="17">
        <v>2000</v>
      </c>
      <c r="H120" s="18">
        <v>2000</v>
      </c>
    </row>
    <row r="121" spans="2:8" x14ac:dyDescent="0.25">
      <c r="B121" s="241"/>
      <c r="C121" s="166" t="s">
        <v>64</v>
      </c>
      <c r="D121" s="455"/>
      <c r="E121" s="41">
        <v>4000</v>
      </c>
      <c r="F121" s="41">
        <v>3500</v>
      </c>
      <c r="G121" s="41">
        <v>3500</v>
      </c>
      <c r="H121" s="29">
        <v>3500</v>
      </c>
    </row>
    <row r="122" spans="2:8" ht="15.75" thickBot="1" x14ac:dyDescent="0.3">
      <c r="B122" s="424" t="s">
        <v>241</v>
      </c>
      <c r="C122" s="279" t="s">
        <v>65</v>
      </c>
      <c r="D122" s="453">
        <v>0</v>
      </c>
      <c r="E122" s="425">
        <v>173100</v>
      </c>
      <c r="F122" s="425">
        <v>150200</v>
      </c>
      <c r="G122" s="425">
        <v>144250</v>
      </c>
      <c r="H122" s="426">
        <v>144600</v>
      </c>
    </row>
    <row r="123" spans="2:8" ht="15.75" thickBot="1" x14ac:dyDescent="0.3">
      <c r="B123"/>
      <c r="C123"/>
      <c r="D123" s="445"/>
      <c r="E123"/>
      <c r="F123"/>
      <c r="G123"/>
      <c r="H123"/>
    </row>
    <row r="124" spans="2:8" x14ac:dyDescent="0.25">
      <c r="B124" s="414"/>
      <c r="C124" s="406" t="s">
        <v>66</v>
      </c>
      <c r="D124" s="446"/>
      <c r="E124" s="415"/>
      <c r="F124" s="415"/>
      <c r="G124" s="415"/>
      <c r="H124" s="427"/>
    </row>
    <row r="125" spans="2:8" x14ac:dyDescent="0.25">
      <c r="B125" s="245"/>
      <c r="C125" s="227" t="s">
        <v>67</v>
      </c>
      <c r="D125" s="452"/>
      <c r="E125" s="51"/>
      <c r="F125" s="51"/>
      <c r="G125" s="12"/>
      <c r="H125" s="13"/>
    </row>
    <row r="126" spans="2:8" x14ac:dyDescent="0.25">
      <c r="B126" s="243">
        <v>91</v>
      </c>
      <c r="C126" s="114" t="s">
        <v>68</v>
      </c>
      <c r="E126" s="11">
        <v>5000</v>
      </c>
      <c r="F126" s="11">
        <v>5000</v>
      </c>
      <c r="G126" s="12">
        <v>5000</v>
      </c>
      <c r="H126" s="13">
        <v>5000</v>
      </c>
    </row>
    <row r="127" spans="2:8" x14ac:dyDescent="0.25">
      <c r="B127" s="240">
        <v>92</v>
      </c>
      <c r="C127" s="224" t="s">
        <v>69</v>
      </c>
      <c r="D127" s="449"/>
      <c r="E127" s="221">
        <v>1500</v>
      </c>
      <c r="F127" s="221">
        <v>1500</v>
      </c>
      <c r="G127" s="222">
        <v>1500</v>
      </c>
      <c r="H127" s="223">
        <v>1500</v>
      </c>
    </row>
    <row r="128" spans="2:8" x14ac:dyDescent="0.25">
      <c r="B128" s="243">
        <v>93</v>
      </c>
      <c r="C128" s="114" t="s">
        <v>70</v>
      </c>
      <c r="E128" s="11">
        <v>2100</v>
      </c>
      <c r="F128" s="11">
        <v>2100</v>
      </c>
      <c r="G128" s="12">
        <v>2100</v>
      </c>
      <c r="H128" s="13">
        <v>2100</v>
      </c>
    </row>
    <row r="129" spans="2:8" x14ac:dyDescent="0.25">
      <c r="B129" s="240">
        <v>94</v>
      </c>
      <c r="C129" s="70" t="s">
        <v>71</v>
      </c>
      <c r="D129" s="454"/>
      <c r="E129" s="16">
        <v>12000</v>
      </c>
      <c r="F129" s="16">
        <v>10000</v>
      </c>
      <c r="G129" s="17">
        <v>10000</v>
      </c>
      <c r="H129" s="18">
        <v>10000</v>
      </c>
    </row>
    <row r="130" spans="2:8" x14ac:dyDescent="0.25">
      <c r="B130" s="243">
        <v>95</v>
      </c>
      <c r="C130" s="229" t="s">
        <v>190</v>
      </c>
      <c r="D130" s="448">
        <v>40000</v>
      </c>
      <c r="E130" s="230">
        <v>10000</v>
      </c>
      <c r="F130" s="230">
        <v>15100</v>
      </c>
      <c r="G130" s="231" t="s">
        <v>239</v>
      </c>
      <c r="H130" s="232" t="s">
        <v>239</v>
      </c>
    </row>
    <row r="131" spans="2:8" x14ac:dyDescent="0.25">
      <c r="B131" s="233">
        <v>96</v>
      </c>
      <c r="C131" s="224" t="s">
        <v>480</v>
      </c>
      <c r="D131" s="449"/>
      <c r="E131" s="221">
        <v>18000</v>
      </c>
      <c r="F131" s="221">
        <v>10000</v>
      </c>
      <c r="G131" s="222"/>
      <c r="H131" s="223"/>
    </row>
    <row r="132" spans="2:8" x14ac:dyDescent="0.25">
      <c r="B132" s="239">
        <v>97</v>
      </c>
      <c r="C132" s="114" t="s">
        <v>304</v>
      </c>
      <c r="E132" s="11">
        <v>10000</v>
      </c>
      <c r="F132" s="11"/>
      <c r="G132" s="12"/>
      <c r="H132" s="13"/>
    </row>
    <row r="133" spans="2:8" x14ac:dyDescent="0.25">
      <c r="B133" s="233"/>
      <c r="C133" s="46" t="s">
        <v>72</v>
      </c>
      <c r="D133" s="454"/>
      <c r="E133" s="16"/>
      <c r="F133" s="16"/>
      <c r="G133" s="17"/>
      <c r="H133" s="18"/>
    </row>
    <row r="134" spans="2:8" x14ac:dyDescent="0.25">
      <c r="B134" s="239">
        <v>98</v>
      </c>
      <c r="C134" s="114" t="s">
        <v>73</v>
      </c>
      <c r="E134" s="11">
        <v>2250</v>
      </c>
      <c r="F134" s="11">
        <v>2250</v>
      </c>
      <c r="G134" s="12">
        <v>2250</v>
      </c>
      <c r="H134" s="13">
        <v>2250</v>
      </c>
    </row>
    <row r="135" spans="2:8" x14ac:dyDescent="0.25">
      <c r="B135" s="234">
        <v>99</v>
      </c>
      <c r="C135" s="70" t="s">
        <v>495</v>
      </c>
      <c r="D135" s="454"/>
      <c r="E135" s="16">
        <v>20000</v>
      </c>
      <c r="F135" s="16">
        <v>20000</v>
      </c>
      <c r="G135" s="17">
        <v>20000</v>
      </c>
      <c r="H135" s="18">
        <v>20000</v>
      </c>
    </row>
    <row r="136" spans="2:8" x14ac:dyDescent="0.25">
      <c r="B136" s="273">
        <v>100</v>
      </c>
      <c r="C136" s="114" t="s">
        <v>192</v>
      </c>
      <c r="D136" s="444">
        <v>5000</v>
      </c>
      <c r="E136" s="11">
        <v>5000</v>
      </c>
      <c r="F136" s="11"/>
      <c r="G136" s="12"/>
      <c r="H136" s="13"/>
    </row>
    <row r="137" spans="2:8" x14ac:dyDescent="0.25">
      <c r="B137" s="234">
        <v>101</v>
      </c>
      <c r="C137" s="70" t="s">
        <v>74</v>
      </c>
      <c r="D137" s="454"/>
      <c r="E137" s="16">
        <v>15300</v>
      </c>
      <c r="F137" s="16">
        <v>15300</v>
      </c>
      <c r="G137" s="17">
        <v>15300</v>
      </c>
      <c r="H137" s="18">
        <v>15300</v>
      </c>
    </row>
    <row r="138" spans="2:8" x14ac:dyDescent="0.25">
      <c r="B138" s="273">
        <v>102</v>
      </c>
      <c r="C138" s="114" t="s">
        <v>75</v>
      </c>
      <c r="E138" s="11">
        <v>3500</v>
      </c>
      <c r="F138" s="11">
        <v>3500</v>
      </c>
      <c r="G138" s="12">
        <v>3500</v>
      </c>
      <c r="H138" s="13">
        <v>3500</v>
      </c>
    </row>
    <row r="139" spans="2:8" x14ac:dyDescent="0.25">
      <c r="B139" s="234">
        <v>103</v>
      </c>
      <c r="C139" s="70" t="s">
        <v>463</v>
      </c>
      <c r="D139" s="454"/>
      <c r="E139" s="16">
        <v>4500</v>
      </c>
      <c r="F139" s="16"/>
      <c r="G139" s="17"/>
      <c r="H139" s="315"/>
    </row>
    <row r="140" spans="2:8" x14ac:dyDescent="0.25">
      <c r="B140" s="234"/>
      <c r="C140" s="46" t="s">
        <v>76</v>
      </c>
      <c r="D140" s="454"/>
      <c r="E140" s="16"/>
      <c r="F140" s="16"/>
      <c r="G140" s="17"/>
      <c r="H140" s="18"/>
    </row>
    <row r="141" spans="2:8" x14ac:dyDescent="0.25">
      <c r="B141" s="273">
        <v>104</v>
      </c>
      <c r="C141" s="114" t="s">
        <v>76</v>
      </c>
      <c r="E141" s="213">
        <v>9000</v>
      </c>
      <c r="F141" s="11">
        <v>6000</v>
      </c>
      <c r="G141" s="12">
        <v>6000</v>
      </c>
      <c r="H141" s="13">
        <v>6000</v>
      </c>
    </row>
    <row r="142" spans="2:8" x14ac:dyDescent="0.25">
      <c r="B142" s="234"/>
      <c r="C142" s="46" t="s">
        <v>77</v>
      </c>
      <c r="D142" s="454"/>
      <c r="E142" s="16"/>
      <c r="F142" s="16"/>
      <c r="G142" s="17"/>
      <c r="H142" s="18"/>
    </row>
    <row r="143" spans="2:8" x14ac:dyDescent="0.25">
      <c r="B143" s="234">
        <v>105</v>
      </c>
      <c r="C143" s="70" t="s">
        <v>79</v>
      </c>
      <c r="D143" s="454"/>
      <c r="E143" s="16">
        <v>6100</v>
      </c>
      <c r="F143" s="16">
        <v>6100</v>
      </c>
      <c r="G143" s="17">
        <v>6100</v>
      </c>
      <c r="H143" s="18">
        <v>6100</v>
      </c>
    </row>
    <row r="144" spans="2:8" x14ac:dyDescent="0.25">
      <c r="B144" s="259">
        <v>106</v>
      </c>
      <c r="C144" s="254" t="s">
        <v>252</v>
      </c>
      <c r="D144" s="448">
        <v>23000</v>
      </c>
      <c r="E144" s="255">
        <v>10500</v>
      </c>
      <c r="F144" s="255"/>
      <c r="G144" s="256"/>
      <c r="H144" s="257"/>
    </row>
    <row r="145" spans="2:8" x14ac:dyDescent="0.25">
      <c r="B145" s="234">
        <v>107</v>
      </c>
      <c r="C145" s="70" t="s">
        <v>498</v>
      </c>
      <c r="D145" s="454"/>
      <c r="E145" s="16">
        <v>1000</v>
      </c>
      <c r="F145" s="16">
        <v>1000</v>
      </c>
      <c r="G145" s="17">
        <v>1000</v>
      </c>
      <c r="H145" s="18">
        <v>1000</v>
      </c>
    </row>
    <row r="146" spans="2:8" x14ac:dyDescent="0.25">
      <c r="B146" s="259">
        <v>108</v>
      </c>
      <c r="C146" s="114" t="s">
        <v>82</v>
      </c>
      <c r="E146" s="11">
        <v>10000</v>
      </c>
      <c r="F146" s="11">
        <v>10000</v>
      </c>
      <c r="G146" s="12">
        <v>10000</v>
      </c>
      <c r="H146" s="13">
        <v>10000</v>
      </c>
    </row>
    <row r="147" spans="2:8" x14ac:dyDescent="0.25">
      <c r="B147" s="234">
        <v>109</v>
      </c>
      <c r="C147" s="70" t="s">
        <v>83</v>
      </c>
      <c r="D147" s="454"/>
      <c r="E147" s="16">
        <v>2000</v>
      </c>
      <c r="F147" s="16">
        <v>2000</v>
      </c>
      <c r="G147" s="17"/>
      <c r="H147" s="18"/>
    </row>
    <row r="148" spans="2:8" x14ac:dyDescent="0.25">
      <c r="B148" s="259">
        <v>110</v>
      </c>
      <c r="C148" s="114" t="s">
        <v>84</v>
      </c>
      <c r="E148" s="11">
        <v>700</v>
      </c>
      <c r="F148" s="11">
        <v>700</v>
      </c>
      <c r="G148" s="12">
        <v>700</v>
      </c>
      <c r="H148" s="13">
        <v>700</v>
      </c>
    </row>
    <row r="149" spans="2:8" x14ac:dyDescent="0.25">
      <c r="B149" s="245"/>
      <c r="C149" s="145" t="s">
        <v>85</v>
      </c>
      <c r="D149" s="452"/>
      <c r="E149" s="51"/>
      <c r="F149" s="51"/>
      <c r="G149" s="52"/>
      <c r="H149" s="53"/>
    </row>
    <row r="150" spans="2:8" x14ac:dyDescent="0.25">
      <c r="B150" s="244">
        <v>111</v>
      </c>
      <c r="C150" s="146" t="s">
        <v>87</v>
      </c>
      <c r="D150" s="452"/>
      <c r="E150" s="51">
        <v>6000</v>
      </c>
      <c r="F150" s="51">
        <v>6000</v>
      </c>
      <c r="G150" s="52">
        <v>6000</v>
      </c>
      <c r="H150" s="53">
        <v>6000</v>
      </c>
    </row>
    <row r="151" spans="2:8" x14ac:dyDescent="0.25">
      <c r="B151" s="242"/>
      <c r="C151" s="46" t="s">
        <v>88</v>
      </c>
      <c r="D151" s="454"/>
      <c r="E151" s="16"/>
      <c r="F151" s="16"/>
      <c r="G151" s="17"/>
      <c r="H151" s="18"/>
    </row>
    <row r="152" spans="2:8" x14ac:dyDescent="0.25">
      <c r="B152" s="243">
        <v>112</v>
      </c>
      <c r="C152" s="225" t="s">
        <v>140</v>
      </c>
      <c r="D152" s="452">
        <v>5700</v>
      </c>
      <c r="E152" s="51">
        <v>5000</v>
      </c>
      <c r="F152" s="51">
        <v>700</v>
      </c>
      <c r="G152" s="52"/>
      <c r="H152" s="53"/>
    </row>
    <row r="153" spans="2:8" x14ac:dyDescent="0.25">
      <c r="B153" s="240">
        <v>113</v>
      </c>
      <c r="C153" s="70" t="s">
        <v>90</v>
      </c>
      <c r="D153" s="454"/>
      <c r="E153" s="16">
        <v>8000</v>
      </c>
      <c r="F153" s="16">
        <v>8000</v>
      </c>
      <c r="G153" s="17">
        <v>8000</v>
      </c>
      <c r="H153" s="18">
        <v>8000</v>
      </c>
    </row>
    <row r="154" spans="2:8" x14ac:dyDescent="0.25">
      <c r="B154" s="243">
        <v>114</v>
      </c>
      <c r="C154" s="229" t="s">
        <v>482</v>
      </c>
      <c r="D154" s="448">
        <v>1500</v>
      </c>
      <c r="E154" s="230">
        <v>500</v>
      </c>
      <c r="F154" s="230">
        <v>1000</v>
      </c>
      <c r="G154" s="231"/>
      <c r="H154" s="232"/>
    </row>
    <row r="155" spans="2:8" x14ac:dyDescent="0.25">
      <c r="B155" s="240">
        <v>115</v>
      </c>
      <c r="C155" s="224" t="s">
        <v>496</v>
      </c>
      <c r="D155" s="449">
        <v>6500</v>
      </c>
      <c r="E155" s="221">
        <v>6200</v>
      </c>
      <c r="F155" s="221"/>
      <c r="G155" s="222"/>
      <c r="H155" s="223"/>
    </row>
    <row r="156" spans="2:8" x14ac:dyDescent="0.25">
      <c r="B156" s="243">
        <v>116</v>
      </c>
      <c r="C156" s="229" t="s">
        <v>481</v>
      </c>
      <c r="D156" s="448"/>
      <c r="E156" s="230"/>
      <c r="F156" s="230"/>
      <c r="G156" s="231">
        <v>12000</v>
      </c>
      <c r="H156" s="232">
        <v>12000</v>
      </c>
    </row>
    <row r="157" spans="2:8" ht="15.75" thickBot="1" x14ac:dyDescent="0.3">
      <c r="B157" s="428" t="s">
        <v>241</v>
      </c>
      <c r="C157" s="279" t="s">
        <v>91</v>
      </c>
      <c r="D157" s="453"/>
      <c r="E157" s="425">
        <v>174150</v>
      </c>
      <c r="F157" s="425">
        <v>126250</v>
      </c>
      <c r="G157" s="425">
        <v>109450</v>
      </c>
      <c r="H157" s="426">
        <v>109450</v>
      </c>
    </row>
    <row r="158" spans="2:8" ht="15.75" thickBot="1" x14ac:dyDescent="0.3">
      <c r="B158"/>
      <c r="C158"/>
      <c r="D158" s="445"/>
      <c r="E158"/>
      <c r="F158"/>
      <c r="G158"/>
      <c r="H158"/>
    </row>
    <row r="159" spans="2:8" x14ac:dyDescent="0.25">
      <c r="B159" s="414"/>
      <c r="C159" s="406" t="s">
        <v>99</v>
      </c>
      <c r="D159" s="446"/>
      <c r="E159" s="415"/>
      <c r="F159" s="415"/>
      <c r="G159" s="415"/>
      <c r="H159" s="427"/>
    </row>
    <row r="160" spans="2:8" x14ac:dyDescent="0.25">
      <c r="B160" s="239">
        <v>117</v>
      </c>
      <c r="C160" s="146" t="s">
        <v>100</v>
      </c>
      <c r="D160" s="444">
        <v>305000</v>
      </c>
      <c r="E160" s="51">
        <v>20000</v>
      </c>
      <c r="F160" s="51">
        <v>40000</v>
      </c>
      <c r="G160" s="12">
        <v>40000</v>
      </c>
      <c r="H160" s="13">
        <v>20000</v>
      </c>
    </row>
    <row r="161" spans="1:8" x14ac:dyDescent="0.25">
      <c r="B161" s="240">
        <v>118</v>
      </c>
      <c r="C161" s="70" t="s">
        <v>193</v>
      </c>
      <c r="D161" s="454">
        <v>30000</v>
      </c>
      <c r="E161" s="16">
        <v>8000</v>
      </c>
      <c r="F161" s="16"/>
      <c r="G161" s="17"/>
      <c r="H161" s="18"/>
    </row>
    <row r="162" spans="1:8" x14ac:dyDescent="0.25">
      <c r="B162" s="239">
        <v>119</v>
      </c>
      <c r="C162" s="114" t="s">
        <v>101</v>
      </c>
      <c r="D162" s="444">
        <v>7000</v>
      </c>
      <c r="E162" s="11">
        <v>2000</v>
      </c>
      <c r="F162" s="11">
        <v>5000</v>
      </c>
      <c r="G162" s="12"/>
      <c r="H162" s="13"/>
    </row>
    <row r="163" spans="1:8" x14ac:dyDescent="0.25">
      <c r="B163" s="240">
        <v>120</v>
      </c>
      <c r="C163" s="224" t="s">
        <v>243</v>
      </c>
      <c r="D163" s="449">
        <v>1100</v>
      </c>
      <c r="E163" s="221">
        <v>700</v>
      </c>
      <c r="F163" s="221"/>
      <c r="G163" s="222"/>
      <c r="H163" s="223"/>
    </row>
    <row r="164" spans="1:8" x14ac:dyDescent="0.25">
      <c r="B164" s="239">
        <v>121</v>
      </c>
      <c r="C164" s="146" t="s">
        <v>102</v>
      </c>
      <c r="D164" s="452">
        <v>25000</v>
      </c>
      <c r="E164" s="51"/>
      <c r="F164" s="51">
        <v>18000</v>
      </c>
      <c r="G164" s="52">
        <v>4000</v>
      </c>
      <c r="H164" s="53">
        <v>0</v>
      </c>
    </row>
    <row r="165" spans="1:8" x14ac:dyDescent="0.25">
      <c r="B165" s="240">
        <v>122</v>
      </c>
      <c r="C165" s="70" t="s">
        <v>253</v>
      </c>
      <c r="D165" s="454">
        <v>37000</v>
      </c>
      <c r="E165" s="16"/>
      <c r="F165" s="16">
        <v>2000</v>
      </c>
      <c r="G165" s="17">
        <v>12000</v>
      </c>
      <c r="H165" s="18">
        <v>23000</v>
      </c>
    </row>
    <row r="166" spans="1:8" x14ac:dyDescent="0.25">
      <c r="B166" s="239">
        <v>123</v>
      </c>
      <c r="C166" s="114" t="s">
        <v>103</v>
      </c>
      <c r="E166" s="11">
        <v>600</v>
      </c>
      <c r="F166" s="11"/>
      <c r="G166" s="12"/>
      <c r="H166" s="13"/>
    </row>
    <row r="167" spans="1:8" ht="15.75" thickBot="1" x14ac:dyDescent="0.3">
      <c r="B167" s="429" t="s">
        <v>241</v>
      </c>
      <c r="C167" s="279" t="s">
        <v>104</v>
      </c>
      <c r="D167" s="453"/>
      <c r="E167" s="425">
        <v>31300</v>
      </c>
      <c r="F167" s="425">
        <v>65000</v>
      </c>
      <c r="G167" s="425">
        <v>56000</v>
      </c>
      <c r="H167" s="426">
        <v>43000</v>
      </c>
    </row>
    <row r="168" spans="1:8" ht="8.25" customHeight="1" thickBot="1" x14ac:dyDescent="0.3">
      <c r="B168"/>
      <c r="C168"/>
      <c r="D168" s="445"/>
      <c r="E168"/>
      <c r="F168"/>
      <c r="G168"/>
      <c r="H168"/>
    </row>
    <row r="169" spans="1:8" s="305" customFormat="1" ht="21.75" customHeight="1" thickBot="1" x14ac:dyDescent="0.3">
      <c r="A169"/>
      <c r="B169" s="401"/>
      <c r="C169" s="402" t="s">
        <v>507</v>
      </c>
      <c r="D169" s="456"/>
      <c r="E169" s="430">
        <v>1076750</v>
      </c>
      <c r="F169" s="430">
        <v>959650</v>
      </c>
      <c r="G169" s="430">
        <v>937550</v>
      </c>
      <c r="H169" s="431">
        <v>1058450</v>
      </c>
    </row>
    <row r="170" spans="1:8" ht="5.25" customHeight="1" thickBot="1" x14ac:dyDescent="0.3">
      <c r="B170"/>
      <c r="C170"/>
      <c r="D170" s="445"/>
      <c r="E170"/>
      <c r="F170"/>
      <c r="G170"/>
      <c r="H170"/>
    </row>
    <row r="171" spans="1:8" x14ac:dyDescent="0.25">
      <c r="B171" s="432"/>
      <c r="C171" s="433" t="s">
        <v>105</v>
      </c>
      <c r="D171" s="457"/>
      <c r="E171" s="434"/>
      <c r="F171" s="434"/>
      <c r="G171" s="435"/>
      <c r="H171" s="436"/>
    </row>
    <row r="172" spans="1:8" x14ac:dyDescent="0.25">
      <c r="B172" s="240">
        <v>124</v>
      </c>
      <c r="C172" s="70" t="s">
        <v>106</v>
      </c>
      <c r="D172" s="454"/>
      <c r="E172" s="16">
        <v>186608</v>
      </c>
      <c r="F172" s="16">
        <v>243561</v>
      </c>
      <c r="G172" s="17">
        <v>274954</v>
      </c>
      <c r="H172" s="18">
        <v>288689</v>
      </c>
    </row>
    <row r="173" spans="1:8" x14ac:dyDescent="0.25">
      <c r="B173" s="243">
        <v>125</v>
      </c>
      <c r="C173" s="114" t="s">
        <v>107</v>
      </c>
      <c r="E173" s="11">
        <v>129210</v>
      </c>
      <c r="F173" s="11">
        <v>115158</v>
      </c>
      <c r="G173" s="11">
        <v>112506</v>
      </c>
      <c r="H173" s="24">
        <v>127014</v>
      </c>
    </row>
    <row r="174" spans="1:8" x14ac:dyDescent="0.25">
      <c r="B174" s="240">
        <v>126</v>
      </c>
      <c r="C174" s="70" t="s">
        <v>108</v>
      </c>
      <c r="D174" s="454"/>
      <c r="E174" s="16">
        <v>43600</v>
      </c>
      <c r="F174" s="16">
        <v>43600</v>
      </c>
      <c r="G174" s="17">
        <v>43600</v>
      </c>
      <c r="H174" s="18">
        <v>43600</v>
      </c>
    </row>
    <row r="175" spans="1:8" x14ac:dyDescent="0.25">
      <c r="B175" s="243">
        <v>127</v>
      </c>
      <c r="C175" s="114" t="s">
        <v>153</v>
      </c>
      <c r="E175" s="11">
        <v>11000</v>
      </c>
      <c r="F175" s="11">
        <v>87000</v>
      </c>
      <c r="G175" s="11">
        <v>0</v>
      </c>
      <c r="H175" s="24">
        <v>0</v>
      </c>
    </row>
    <row r="176" spans="1:8" x14ac:dyDescent="0.25">
      <c r="B176" s="240">
        <v>128</v>
      </c>
      <c r="C176" s="70" t="s">
        <v>109</v>
      </c>
      <c r="D176" s="454"/>
      <c r="E176" s="16"/>
      <c r="F176" s="16"/>
      <c r="G176" s="17">
        <v>44000</v>
      </c>
      <c r="H176" s="18">
        <v>16000</v>
      </c>
    </row>
    <row r="177" spans="2:8" x14ac:dyDescent="0.25">
      <c r="B177" s="243">
        <v>129</v>
      </c>
      <c r="C177" s="114" t="s">
        <v>110</v>
      </c>
      <c r="E177" s="11">
        <v>5000</v>
      </c>
      <c r="F177" s="11">
        <v>10000</v>
      </c>
      <c r="G177" s="11"/>
      <c r="H177" s="24"/>
    </row>
    <row r="178" spans="2:8" x14ac:dyDescent="0.25">
      <c r="B178" s="240">
        <v>130</v>
      </c>
      <c r="C178" s="70" t="s">
        <v>111</v>
      </c>
      <c r="D178" s="454"/>
      <c r="E178" s="16">
        <v>230195</v>
      </c>
      <c r="F178" s="16"/>
      <c r="G178" s="17"/>
      <c r="H178" s="18"/>
    </row>
    <row r="179" spans="2:8" x14ac:dyDescent="0.25">
      <c r="B179" s="243">
        <v>131</v>
      </c>
      <c r="C179" s="114" t="s">
        <v>476</v>
      </c>
      <c r="E179" s="11"/>
      <c r="F179" s="11">
        <v>11000</v>
      </c>
      <c r="G179" s="11"/>
      <c r="H179" s="24"/>
    </row>
    <row r="180" spans="2:8" x14ac:dyDescent="0.25">
      <c r="B180" s="240">
        <v>132</v>
      </c>
      <c r="C180" s="70" t="s">
        <v>114</v>
      </c>
      <c r="D180" s="454"/>
      <c r="E180" s="16">
        <v>800</v>
      </c>
      <c r="F180" s="16">
        <v>800</v>
      </c>
      <c r="G180" s="17"/>
      <c r="H180" s="18"/>
    </row>
    <row r="181" spans="2:8" x14ac:dyDescent="0.25">
      <c r="B181" s="243">
        <v>133</v>
      </c>
      <c r="C181" s="114" t="s">
        <v>497</v>
      </c>
      <c r="E181" s="11">
        <v>2200</v>
      </c>
      <c r="F181" s="11">
        <v>3000</v>
      </c>
      <c r="G181" s="11"/>
      <c r="H181" s="24"/>
    </row>
    <row r="182" spans="2:8" x14ac:dyDescent="0.25">
      <c r="B182" s="240">
        <v>134</v>
      </c>
      <c r="C182" s="70" t="s">
        <v>117</v>
      </c>
      <c r="D182" s="454"/>
      <c r="E182" s="16"/>
      <c r="F182" s="16">
        <v>12000</v>
      </c>
      <c r="G182" s="17"/>
      <c r="H182" s="18"/>
    </row>
    <row r="183" spans="2:8" x14ac:dyDescent="0.25">
      <c r="B183" s="243">
        <v>135</v>
      </c>
      <c r="C183" s="114" t="s">
        <v>119</v>
      </c>
      <c r="E183" s="11"/>
      <c r="F183" s="11">
        <v>2000</v>
      </c>
      <c r="G183" s="11"/>
      <c r="H183" s="24"/>
    </row>
    <row r="184" spans="2:8" x14ac:dyDescent="0.25">
      <c r="B184" s="240">
        <v>136</v>
      </c>
      <c r="C184" s="70" t="s">
        <v>121</v>
      </c>
      <c r="D184" s="454"/>
      <c r="E184" s="16">
        <v>10000</v>
      </c>
      <c r="F184" s="16"/>
      <c r="G184" s="17"/>
      <c r="H184" s="18"/>
    </row>
    <row r="185" spans="2:8" x14ac:dyDescent="0.25">
      <c r="B185" s="243">
        <v>137</v>
      </c>
      <c r="C185" s="114" t="s">
        <v>122</v>
      </c>
      <c r="E185" s="11">
        <v>5000</v>
      </c>
      <c r="F185" s="11">
        <v>5000</v>
      </c>
      <c r="G185" s="11"/>
      <c r="H185" s="24"/>
    </row>
    <row r="186" spans="2:8" x14ac:dyDescent="0.25">
      <c r="B186" s="240">
        <v>138</v>
      </c>
      <c r="C186" s="70" t="s">
        <v>147</v>
      </c>
      <c r="D186" s="454"/>
      <c r="E186" s="16">
        <v>9850</v>
      </c>
      <c r="F186" s="16">
        <v>17367</v>
      </c>
      <c r="G186" s="17">
        <v>25771</v>
      </c>
      <c r="H186" s="18">
        <v>31514</v>
      </c>
    </row>
    <row r="187" spans="2:8" x14ac:dyDescent="0.25">
      <c r="B187" s="243">
        <v>139</v>
      </c>
      <c r="C187" s="114" t="s">
        <v>154</v>
      </c>
      <c r="E187" s="11"/>
      <c r="F187" s="11"/>
      <c r="G187" s="11"/>
      <c r="H187" s="24">
        <v>7500</v>
      </c>
    </row>
    <row r="188" spans="2:8" x14ac:dyDescent="0.25">
      <c r="B188" s="240">
        <v>140</v>
      </c>
      <c r="C188" s="70" t="s">
        <v>464</v>
      </c>
      <c r="D188" s="454"/>
      <c r="E188" s="16">
        <v>15000</v>
      </c>
      <c r="F188" s="16"/>
      <c r="G188" s="17"/>
      <c r="H188" s="18"/>
    </row>
    <row r="189" spans="2:8" x14ac:dyDescent="0.25">
      <c r="B189" s="243">
        <v>141</v>
      </c>
      <c r="C189" s="114" t="s">
        <v>465</v>
      </c>
      <c r="E189" s="11">
        <v>15000</v>
      </c>
      <c r="F189" s="11"/>
      <c r="G189" s="11"/>
      <c r="H189" s="24"/>
    </row>
    <row r="190" spans="2:8" x14ac:dyDescent="0.25">
      <c r="B190" s="240">
        <v>142</v>
      </c>
      <c r="C190" s="70" t="s">
        <v>466</v>
      </c>
      <c r="D190" s="454"/>
      <c r="E190" s="16"/>
      <c r="F190" s="16">
        <v>10000</v>
      </c>
      <c r="G190" s="17"/>
      <c r="H190" s="18"/>
    </row>
    <row r="191" spans="2:8" x14ac:dyDescent="0.25">
      <c r="B191" s="243">
        <v>143</v>
      </c>
      <c r="C191" s="114" t="s">
        <v>467</v>
      </c>
      <c r="E191" s="11"/>
      <c r="F191" s="11">
        <v>10000</v>
      </c>
      <c r="G191" s="11"/>
      <c r="H191" s="24"/>
    </row>
    <row r="192" spans="2:8" x14ac:dyDescent="0.25">
      <c r="B192" s="240">
        <v>144</v>
      </c>
      <c r="C192" s="70" t="s">
        <v>468</v>
      </c>
      <c r="D192" s="454"/>
      <c r="E192" s="16">
        <v>68500</v>
      </c>
      <c r="F192" s="16"/>
      <c r="G192" s="17"/>
      <c r="H192" s="18"/>
    </row>
    <row r="193" spans="2:8" x14ac:dyDescent="0.25">
      <c r="B193" s="243">
        <v>145</v>
      </c>
      <c r="C193" s="114" t="s">
        <v>474</v>
      </c>
      <c r="E193" s="11"/>
      <c r="F193" s="11"/>
      <c r="G193" s="11">
        <v>2000</v>
      </c>
      <c r="H193" s="24">
        <v>2000</v>
      </c>
    </row>
    <row r="194" spans="2:8" x14ac:dyDescent="0.25">
      <c r="B194" s="240">
        <v>146</v>
      </c>
      <c r="C194" s="70" t="s">
        <v>475</v>
      </c>
      <c r="D194" s="454"/>
      <c r="E194" s="16"/>
      <c r="F194" s="16"/>
      <c r="G194" s="17"/>
      <c r="H194" s="18">
        <v>7000</v>
      </c>
    </row>
    <row r="195" spans="2:8" x14ac:dyDescent="0.25">
      <c r="B195" s="239">
        <v>147</v>
      </c>
      <c r="C195" s="114" t="s">
        <v>123</v>
      </c>
      <c r="E195" s="11">
        <v>344787</v>
      </c>
      <c r="F195" s="11">
        <v>389164</v>
      </c>
      <c r="G195" s="11">
        <v>434719</v>
      </c>
      <c r="H195" s="24">
        <v>535133</v>
      </c>
    </row>
    <row r="196" spans="2:8" ht="15.75" thickBot="1" x14ac:dyDescent="0.3">
      <c r="B196" s="397"/>
      <c r="C196" s="398" t="s">
        <v>124</v>
      </c>
      <c r="D196" s="453"/>
      <c r="E196" s="437">
        <v>1076750</v>
      </c>
      <c r="F196" s="437">
        <v>959650</v>
      </c>
      <c r="G196" s="437">
        <v>937550</v>
      </c>
      <c r="H196" s="438">
        <v>1058450</v>
      </c>
    </row>
    <row r="197" spans="2:8" ht="4.5" customHeight="1" thickBot="1" x14ac:dyDescent="0.3">
      <c r="B197"/>
      <c r="C197"/>
      <c r="D197" s="445"/>
      <c r="E197"/>
      <c r="F197"/>
      <c r="G197"/>
      <c r="H197"/>
    </row>
    <row r="198" spans="2:8" ht="15.75" thickBot="1" x14ac:dyDescent="0.3">
      <c r="B198" s="439"/>
      <c r="C198" s="402" t="s">
        <v>505</v>
      </c>
      <c r="D198" s="458"/>
      <c r="E198" s="403">
        <v>0</v>
      </c>
      <c r="F198" s="403">
        <v>0</v>
      </c>
      <c r="G198" s="403">
        <v>0</v>
      </c>
      <c r="H198" s="404">
        <v>0</v>
      </c>
    </row>
    <row r="199" spans="2:8" ht="6" customHeight="1" thickBot="1" x14ac:dyDescent="0.3">
      <c r="B199"/>
      <c r="C199"/>
      <c r="D199" s="445"/>
      <c r="E199"/>
      <c r="F199"/>
      <c r="G199"/>
      <c r="H199"/>
    </row>
    <row r="200" spans="2:8" x14ac:dyDescent="0.25">
      <c r="B200" s="275"/>
      <c r="C200" s="276" t="s">
        <v>125</v>
      </c>
      <c r="D200" s="459"/>
      <c r="E200" s="440">
        <v>0.6797891804039935</v>
      </c>
      <c r="F200" s="440">
        <v>0.59447298494242695</v>
      </c>
      <c r="G200" s="440">
        <v>0.53632446269532297</v>
      </c>
      <c r="H200" s="441">
        <v>0.49441825310595677</v>
      </c>
    </row>
    <row r="201" spans="2:8" ht="15.75" thickBot="1" x14ac:dyDescent="0.3">
      <c r="B201" s="397"/>
      <c r="C201" s="398" t="s">
        <v>126</v>
      </c>
      <c r="D201" s="460"/>
      <c r="E201" s="399">
        <v>0.3202108195960065</v>
      </c>
      <c r="F201" s="399">
        <v>0.40552701505757305</v>
      </c>
      <c r="G201" s="399">
        <v>0.46367553730467709</v>
      </c>
      <c r="H201" s="400">
        <v>0.50558174689404323</v>
      </c>
    </row>
  </sheetData>
  <mergeCells count="2">
    <mergeCell ref="B2:H2"/>
    <mergeCell ref="B4:C4"/>
  </mergeCells>
  <conditionalFormatting sqref="B152 B63:B64 B108:B115 B131:B134 G175:H175 G177:H177 G181:H181 G183:H183 G185:H185 G187:H187 B154:B156 D152 B135:D136 B153:D153 C133:D134 B140:D151 C126:D130 B173:D195 E103:H103 E160:F166 E121:H122 E119:F120 B58:H58 E87:H90 B116:H116 E140:F153 E133:F136 E125:F130 E45:H45 B76:H76 E30:F44 E78:F86 E92:F102 E174:F178 E180:F188 E190:F190 E192:F192 E194:F194 E173:H173 E179:H179 E189:H189 E191:H191 E193:H193 E195:H195 E167:H167 B28:H28 B6:F7 C51:F51 C155:F155 C54:F56 C109:F109 B106:F107 C111:F114 C64:F64 B196:H196 B171:F171 B169 B30:D45 B47:F47 B60:F62 B78:D90 B92:D103 E118:H118 B118:D122 B124:D125 E124:H124 B157:H157 B159:D167 E159:H159 B200:H201 B198:H198">
    <cfRule type="expression" dxfId="166" priority="217">
      <formula>#REF!=#REF!</formula>
    </cfRule>
    <cfRule type="expression" dxfId="165" priority="218">
      <formula>#REF!=#REF!</formula>
    </cfRule>
  </conditionalFormatting>
  <conditionalFormatting sqref="C41:F42 C44:F44">
    <cfRule type="expression" dxfId="164" priority="219">
      <formula>#REF!=#REF!</formula>
    </cfRule>
    <cfRule type="expression" dxfId="163" priority="220">
      <formula>#REF!=#REF!</formula>
    </cfRule>
  </conditionalFormatting>
  <conditionalFormatting sqref="B65:B71 B48:D49 B8:D27 B35:D38 D39 B40:D40 C50:D50 C66:D66 C68:D68 C70:D70 C72:D72 C43:F43 C131:F132 C115:F115 C154:F154 C156:F156 E35:F40 E48:F50 C52:F53 C57:F57 B61:F61 B63:F63 B82:F84 C108:F108 C110:F110 B105:F105 C180:F180 C188:F195 B65:D65 B67:D67 B69:D69 B71:D71 B137:F139 E65:F72 C74:F74 B73:F73 B75:F75 E9:F9 E11:F11 E13:F13 E15:F15 E17:F17 E19:F19 E21:F21 E23:F23 E25:F25 E27:F27 B172:F172">
    <cfRule type="expression" dxfId="162" priority="215">
      <formula>#REF!=#REF!</formula>
    </cfRule>
    <cfRule type="expression" dxfId="161" priority="216">
      <formula>#REF!=#REF!</formula>
    </cfRule>
  </conditionalFormatting>
  <conditionalFormatting sqref="B50 B52 B54 B56">
    <cfRule type="expression" dxfId="160" priority="209">
      <formula>#REF!=#REF!</formula>
    </cfRule>
    <cfRule type="expression" dxfId="159" priority="210">
      <formula>#REF!=#REF!</formula>
    </cfRule>
  </conditionalFormatting>
  <conditionalFormatting sqref="E8:H8">
    <cfRule type="expression" dxfId="158" priority="173">
      <formula>#REF!=#REF!</formula>
    </cfRule>
    <cfRule type="expression" dxfId="157" priority="174">
      <formula>#REF!=#REF!</formula>
    </cfRule>
  </conditionalFormatting>
  <conditionalFormatting sqref="B39">
    <cfRule type="expression" dxfId="156" priority="153">
      <formula>#REF!=#REF!</formula>
    </cfRule>
    <cfRule type="expression" dxfId="155" priority="154">
      <formula>#REF!=#REF!</formula>
    </cfRule>
  </conditionalFormatting>
  <conditionalFormatting sqref="B43">
    <cfRule type="expression" dxfId="154" priority="143">
      <formula>#REF!=#REF!</formula>
    </cfRule>
    <cfRule type="expression" dxfId="153" priority="144">
      <formula>#REF!=#REF!</formula>
    </cfRule>
  </conditionalFormatting>
  <conditionalFormatting sqref="B51 B53 B55 B57">
    <cfRule type="expression" dxfId="152" priority="139">
      <formula>#REF!=#REF!</formula>
    </cfRule>
    <cfRule type="expression" dxfId="151" priority="140">
      <formula>#REF!=#REF!</formula>
    </cfRule>
  </conditionalFormatting>
  <conditionalFormatting sqref="B72:B75">
    <cfRule type="expression" dxfId="150" priority="31">
      <formula>#REF!=#REF!</formula>
    </cfRule>
    <cfRule type="expression" dxfId="149" priority="32">
      <formula>#REF!=#REF!</formula>
    </cfRule>
  </conditionalFormatting>
  <conditionalFormatting sqref="E10:H10 E12:H12 E14:H14 E16:H16 E18:H18 E20:H20">
    <cfRule type="expression" dxfId="148" priority="17">
      <formula>#REF!=#REF!</formula>
    </cfRule>
    <cfRule type="expression" dxfId="147" priority="18">
      <formula>#REF!=#REF!</formula>
    </cfRule>
  </conditionalFormatting>
  <conditionalFormatting sqref="B126:B130">
    <cfRule type="expression" dxfId="146" priority="15">
      <formula>#REF!=#REF!</formula>
    </cfRule>
    <cfRule type="expression" dxfId="145" priority="16">
      <formula>#REF!=#REF!</formula>
    </cfRule>
  </conditionalFormatting>
  <conditionalFormatting sqref="E22:H22 E24:H24 E26:H26">
    <cfRule type="expression" dxfId="144" priority="7">
      <formula>#REF!=#REF!</formula>
    </cfRule>
    <cfRule type="expression" dxfId="143" priority="8">
      <formula>#REF!=#REF!</formula>
    </cfRule>
  </conditionalFormatting>
  <conditionalFormatting sqref="C169:H169">
    <cfRule type="expression" dxfId="142" priority="1">
      <formula>#REF!=#REF!</formula>
    </cfRule>
    <cfRule type="expression" dxfId="141" priority="2">
      <formula>#REF!=#REF!</formula>
    </cfRule>
  </conditionalFormatting>
  <pageMargins left="0.25" right="0.25" top="0.75" bottom="0.75" header="0.3" footer="0.3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4"/>
  <sheetViews>
    <sheetView showGridLines="0" workbookViewId="0">
      <selection activeCell="B3" sqref="B3:H30"/>
    </sheetView>
  </sheetViews>
  <sheetFormatPr baseColWidth="10" defaultRowHeight="15" x14ac:dyDescent="0.25"/>
  <cols>
    <col min="2" max="2" width="61.42578125" customWidth="1"/>
    <col min="3" max="3" width="8.28515625" bestFit="1" customWidth="1"/>
    <col min="4" max="7" width="7.28515625" bestFit="1" customWidth="1"/>
    <col min="8" max="8" width="13.85546875" bestFit="1" customWidth="1"/>
  </cols>
  <sheetData>
    <row r="3" spans="2:8" x14ac:dyDescent="0.25">
      <c r="B3" s="383" t="s">
        <v>458</v>
      </c>
      <c r="C3" s="384" t="s">
        <v>351</v>
      </c>
      <c r="D3" s="384">
        <v>2018</v>
      </c>
      <c r="E3" s="384">
        <v>2019</v>
      </c>
      <c r="F3" s="384">
        <v>2020</v>
      </c>
      <c r="G3" s="383">
        <v>2021</v>
      </c>
      <c r="H3" s="383" t="s">
        <v>457</v>
      </c>
    </row>
    <row r="4" spans="2:8" ht="18.75" x14ac:dyDescent="0.3">
      <c r="B4" s="385" t="s">
        <v>440</v>
      </c>
      <c r="C4" s="325"/>
      <c r="D4" s="325"/>
      <c r="E4" s="325"/>
      <c r="F4" s="325"/>
      <c r="G4" s="325"/>
      <c r="H4" s="325"/>
    </row>
    <row r="5" spans="2:8" x14ac:dyDescent="0.25">
      <c r="B5" s="386" t="s">
        <v>286</v>
      </c>
      <c r="C5" s="325"/>
      <c r="D5" s="325"/>
      <c r="E5" s="325"/>
      <c r="F5" s="325">
        <v>2000</v>
      </c>
      <c r="G5" s="325">
        <v>2000</v>
      </c>
      <c r="H5" s="274">
        <f>SUM(D5:G5)</f>
        <v>4000</v>
      </c>
    </row>
    <row r="6" spans="2:8" x14ac:dyDescent="0.25">
      <c r="B6" s="386" t="s">
        <v>283</v>
      </c>
      <c r="C6" s="325"/>
      <c r="D6" s="325">
        <v>3000</v>
      </c>
      <c r="E6" s="325"/>
      <c r="F6" s="325"/>
      <c r="G6" s="325"/>
      <c r="H6" s="274">
        <f t="shared" ref="H6:H16" si="0">SUM(D6:G6)</f>
        <v>3000</v>
      </c>
    </row>
    <row r="7" spans="2:8" x14ac:dyDescent="0.25">
      <c r="B7" s="386" t="s">
        <v>295</v>
      </c>
      <c r="C7" s="325">
        <v>30000</v>
      </c>
      <c r="D7" s="325"/>
      <c r="E7" s="325">
        <v>5000</v>
      </c>
      <c r="F7" s="325">
        <v>10000</v>
      </c>
      <c r="G7" s="325">
        <v>15000</v>
      </c>
      <c r="H7" s="274">
        <f t="shared" si="0"/>
        <v>30000</v>
      </c>
    </row>
    <row r="8" spans="2:8" x14ac:dyDescent="0.25">
      <c r="B8" s="386" t="s">
        <v>456</v>
      </c>
      <c r="C8" s="325">
        <v>35000</v>
      </c>
      <c r="D8" s="325">
        <v>5000</v>
      </c>
      <c r="E8" s="325">
        <v>15000</v>
      </c>
      <c r="F8" s="325">
        <v>15000</v>
      </c>
      <c r="G8" s="325">
        <v>0</v>
      </c>
      <c r="H8" s="274">
        <f t="shared" si="0"/>
        <v>35000</v>
      </c>
    </row>
    <row r="9" spans="2:8" x14ac:dyDescent="0.25">
      <c r="B9" s="386" t="s">
        <v>282</v>
      </c>
      <c r="C9" s="325"/>
      <c r="D9" s="325">
        <v>27000</v>
      </c>
      <c r="E9" s="325"/>
      <c r="F9" s="325"/>
      <c r="G9" s="325"/>
      <c r="H9" s="274">
        <f t="shared" si="0"/>
        <v>27000</v>
      </c>
    </row>
    <row r="10" spans="2:8" x14ac:dyDescent="0.25">
      <c r="B10" s="386" t="s">
        <v>288</v>
      </c>
      <c r="C10" s="325"/>
      <c r="D10" s="325">
        <v>5000</v>
      </c>
      <c r="E10" s="325">
        <v>5000</v>
      </c>
      <c r="F10" s="325">
        <v>5000</v>
      </c>
      <c r="G10" s="325">
        <v>5000</v>
      </c>
      <c r="H10" s="274">
        <f t="shared" si="0"/>
        <v>20000</v>
      </c>
    </row>
    <row r="11" spans="2:8" ht="18.75" x14ac:dyDescent="0.3">
      <c r="B11" s="387" t="s">
        <v>441</v>
      </c>
      <c r="C11" s="388">
        <f t="shared" ref="C11" si="1">SUM(C7:C10)</f>
        <v>65000</v>
      </c>
      <c r="D11" s="388">
        <f>SUM(D5:D10)</f>
        <v>40000</v>
      </c>
      <c r="E11" s="388">
        <f t="shared" ref="E11:G11" si="2">SUM(E5:E10)</f>
        <v>25000</v>
      </c>
      <c r="F11" s="388">
        <f t="shared" si="2"/>
        <v>32000</v>
      </c>
      <c r="G11" s="388">
        <f t="shared" si="2"/>
        <v>22000</v>
      </c>
      <c r="H11" s="393">
        <f>SUM(H5:H10)</f>
        <v>119000</v>
      </c>
    </row>
    <row r="12" spans="2:8" ht="18.75" x14ac:dyDescent="0.3">
      <c r="B12" s="385" t="s">
        <v>422</v>
      </c>
      <c r="C12" s="325"/>
      <c r="D12" s="325"/>
      <c r="E12" s="325"/>
      <c r="F12" s="325"/>
      <c r="G12" s="325"/>
      <c r="H12" s="325"/>
    </row>
    <row r="13" spans="2:8" x14ac:dyDescent="0.25">
      <c r="B13" s="263" t="s">
        <v>279</v>
      </c>
      <c r="C13" s="325">
        <v>12000</v>
      </c>
      <c r="D13" s="325">
        <v>6000</v>
      </c>
      <c r="E13" s="325">
        <v>6000</v>
      </c>
      <c r="F13" s="325"/>
      <c r="G13" s="325"/>
      <c r="H13" s="274">
        <f t="shared" si="0"/>
        <v>12000</v>
      </c>
    </row>
    <row r="14" spans="2:8" x14ac:dyDescent="0.25">
      <c r="B14" s="263" t="s">
        <v>445</v>
      </c>
      <c r="C14" s="325">
        <v>60000</v>
      </c>
      <c r="D14" s="325" t="s">
        <v>239</v>
      </c>
      <c r="E14" s="325">
        <v>1000</v>
      </c>
      <c r="F14" s="325">
        <v>20000</v>
      </c>
      <c r="G14" s="325">
        <v>39000</v>
      </c>
      <c r="H14" s="274">
        <f t="shared" si="0"/>
        <v>60000</v>
      </c>
    </row>
    <row r="15" spans="2:8" x14ac:dyDescent="0.25">
      <c r="B15" s="263" t="s">
        <v>446</v>
      </c>
      <c r="C15" s="325">
        <v>50000</v>
      </c>
      <c r="D15" s="325" t="s">
        <v>239</v>
      </c>
      <c r="E15" s="325">
        <v>1000</v>
      </c>
      <c r="F15" s="325">
        <v>20000</v>
      </c>
      <c r="G15" s="325">
        <v>29000</v>
      </c>
      <c r="H15" s="274">
        <f t="shared" si="0"/>
        <v>50000</v>
      </c>
    </row>
    <row r="16" spans="2:8" x14ac:dyDescent="0.25">
      <c r="B16" s="386" t="s">
        <v>447</v>
      </c>
      <c r="C16" s="325">
        <v>30000</v>
      </c>
      <c r="D16" s="325">
        <v>5000</v>
      </c>
      <c r="E16" s="325">
        <v>5000</v>
      </c>
      <c r="F16" s="325">
        <v>10000</v>
      </c>
      <c r="G16" s="325">
        <v>10000</v>
      </c>
      <c r="H16" s="274">
        <f t="shared" si="0"/>
        <v>30000</v>
      </c>
    </row>
    <row r="17" spans="2:8" ht="18.75" x14ac:dyDescent="0.3">
      <c r="B17" s="387" t="s">
        <v>442</v>
      </c>
      <c r="C17" s="388">
        <f>SUM(C13:C16)</f>
        <v>152000</v>
      </c>
      <c r="D17" s="388">
        <f t="shared" ref="D17:G17" si="3">SUM(D13:D16)</f>
        <v>11000</v>
      </c>
      <c r="E17" s="388">
        <f t="shared" si="3"/>
        <v>13000</v>
      </c>
      <c r="F17" s="388">
        <f t="shared" si="3"/>
        <v>50000</v>
      </c>
      <c r="G17" s="388">
        <f t="shared" si="3"/>
        <v>78000</v>
      </c>
      <c r="H17" s="393">
        <f>SUM(H13:H16)</f>
        <v>152000</v>
      </c>
    </row>
    <row r="18" spans="2:8" ht="18.75" x14ac:dyDescent="0.3">
      <c r="B18" s="389" t="s">
        <v>424</v>
      </c>
      <c r="C18" s="274"/>
      <c r="D18" s="274"/>
      <c r="E18" s="274"/>
      <c r="F18" s="274"/>
      <c r="G18" s="274"/>
      <c r="H18" s="274"/>
    </row>
    <row r="19" spans="2:8" x14ac:dyDescent="0.25">
      <c r="B19" s="292" t="s">
        <v>304</v>
      </c>
      <c r="C19" s="274"/>
      <c r="D19" s="274">
        <v>7000</v>
      </c>
      <c r="E19" s="274"/>
      <c r="F19" s="274"/>
      <c r="G19" s="274"/>
      <c r="H19" s="274">
        <f>SUM(D19:G19)</f>
        <v>7000</v>
      </c>
    </row>
    <row r="20" spans="2:8" x14ac:dyDescent="0.25">
      <c r="B20" s="292" t="s">
        <v>443</v>
      </c>
      <c r="C20" s="274"/>
      <c r="D20" s="274">
        <v>500</v>
      </c>
      <c r="E20" s="274">
        <v>1000</v>
      </c>
      <c r="F20" s="274"/>
      <c r="G20" s="274"/>
      <c r="H20" s="274">
        <f t="shared" ref="H20:H22" si="4">SUM(D20:G20)</f>
        <v>1500</v>
      </c>
    </row>
    <row r="21" spans="2:8" x14ac:dyDescent="0.25">
      <c r="B21" s="43" t="s">
        <v>301</v>
      </c>
      <c r="C21" s="274"/>
      <c r="D21" s="274"/>
      <c r="E21" s="274"/>
      <c r="F21" s="274">
        <v>12000</v>
      </c>
      <c r="G21" s="274">
        <v>12000</v>
      </c>
      <c r="H21" s="274">
        <f t="shared" si="4"/>
        <v>24000</v>
      </c>
    </row>
    <row r="22" spans="2:8" x14ac:dyDescent="0.25">
      <c r="B22" s="43" t="s">
        <v>448</v>
      </c>
      <c r="C22" s="274"/>
      <c r="D22" s="274"/>
      <c r="E22" s="274">
        <v>10000</v>
      </c>
      <c r="F22" s="274"/>
      <c r="G22" s="274"/>
      <c r="H22" s="274">
        <f t="shared" si="4"/>
        <v>10000</v>
      </c>
    </row>
    <row r="23" spans="2:8" ht="18.75" x14ac:dyDescent="0.25">
      <c r="B23" s="390" t="s">
        <v>444</v>
      </c>
      <c r="C23" s="391">
        <f>SUM(C19:C22)</f>
        <v>0</v>
      </c>
      <c r="D23" s="391">
        <f>SUM(D19:D22)</f>
        <v>7500</v>
      </c>
      <c r="E23" s="391">
        <f t="shared" ref="E23:G23" si="5">SUM(E19:E22)</f>
        <v>11000</v>
      </c>
      <c r="F23" s="391">
        <f t="shared" si="5"/>
        <v>12000</v>
      </c>
      <c r="G23" s="391">
        <f t="shared" si="5"/>
        <v>12000</v>
      </c>
      <c r="H23" s="394">
        <f>SUM(H19:H22)</f>
        <v>42500</v>
      </c>
    </row>
    <row r="24" spans="2:8" ht="18.75" x14ac:dyDescent="0.3">
      <c r="B24" s="389" t="s">
        <v>449</v>
      </c>
      <c r="C24" s="274"/>
      <c r="D24" s="274"/>
      <c r="E24" s="274"/>
      <c r="F24" s="274"/>
      <c r="G24" s="274"/>
      <c r="H24" s="274"/>
    </row>
    <row r="25" spans="2:8" x14ac:dyDescent="0.25">
      <c r="B25" s="43" t="s">
        <v>450</v>
      </c>
      <c r="C25" s="215">
        <v>27000</v>
      </c>
      <c r="D25" s="215">
        <v>25000</v>
      </c>
      <c r="E25" s="215">
        <v>2000</v>
      </c>
      <c r="F25" s="215"/>
      <c r="G25" s="215"/>
      <c r="H25" s="392">
        <f>SUM(D25:G25)</f>
        <v>27000</v>
      </c>
    </row>
    <row r="26" spans="2:8" x14ac:dyDescent="0.25">
      <c r="B26" t="s">
        <v>453</v>
      </c>
      <c r="C26" s="215">
        <v>1000</v>
      </c>
      <c r="D26" s="215">
        <v>1000</v>
      </c>
      <c r="E26" s="215"/>
      <c r="F26" s="215"/>
      <c r="G26" s="215"/>
      <c r="H26" s="392">
        <f t="shared" ref="H26:H29" si="6">SUM(D26:G26)</f>
        <v>1000</v>
      </c>
    </row>
    <row r="27" spans="2:8" x14ac:dyDescent="0.25">
      <c r="B27" t="s">
        <v>452</v>
      </c>
      <c r="C27" s="215">
        <v>3500</v>
      </c>
      <c r="D27" s="215">
        <v>3500</v>
      </c>
      <c r="E27" s="215"/>
      <c r="F27" s="215"/>
      <c r="G27" s="215"/>
      <c r="H27" s="392">
        <f t="shared" si="6"/>
        <v>3500</v>
      </c>
    </row>
    <row r="28" spans="2:8" x14ac:dyDescent="0.25">
      <c r="B28" t="s">
        <v>454</v>
      </c>
      <c r="C28" s="215">
        <v>4000</v>
      </c>
      <c r="D28" s="215">
        <v>500</v>
      </c>
      <c r="E28" s="215">
        <v>3500</v>
      </c>
      <c r="F28" s="215"/>
      <c r="G28" s="215"/>
      <c r="H28" s="392">
        <f t="shared" si="6"/>
        <v>4000</v>
      </c>
    </row>
    <row r="29" spans="2:8" x14ac:dyDescent="0.25">
      <c r="B29" t="s">
        <v>455</v>
      </c>
      <c r="C29" s="215">
        <v>1500</v>
      </c>
      <c r="D29" s="215">
        <v>1500</v>
      </c>
      <c r="E29" s="215"/>
      <c r="F29" s="215"/>
      <c r="G29" s="215"/>
      <c r="H29" s="392">
        <f t="shared" si="6"/>
        <v>1500</v>
      </c>
    </row>
    <row r="30" spans="2:8" ht="18.75" x14ac:dyDescent="0.25">
      <c r="B30" s="390" t="s">
        <v>451</v>
      </c>
      <c r="C30" s="391">
        <f>SUM(C25:C29)</f>
        <v>37000</v>
      </c>
      <c r="D30" s="391">
        <f>SUM(D25:D29)</f>
        <v>31500</v>
      </c>
      <c r="E30" s="391">
        <f>SUM(E25:E29)</f>
        <v>5500</v>
      </c>
      <c r="F30" s="391"/>
      <c r="G30" s="391"/>
      <c r="H30" s="394">
        <f>SUM(H25:H29)</f>
        <v>37000</v>
      </c>
    </row>
    <row r="31" spans="2:8" ht="18.75" x14ac:dyDescent="0.3">
      <c r="B31" s="389"/>
      <c r="C31" s="274"/>
      <c r="D31" s="274"/>
      <c r="E31" s="274"/>
      <c r="F31" s="274"/>
      <c r="G31" s="274"/>
      <c r="H31" s="274"/>
    </row>
    <row r="32" spans="2:8" ht="18.75" x14ac:dyDescent="0.3">
      <c r="B32" s="389"/>
      <c r="C32" s="274"/>
      <c r="D32" s="274"/>
      <c r="E32" s="274"/>
      <c r="F32" s="274"/>
      <c r="G32" s="274"/>
      <c r="H32" s="274"/>
    </row>
    <row r="34" spans="8:8" x14ac:dyDescent="0.25">
      <c r="H34" s="356"/>
    </row>
  </sheetData>
  <pageMargins left="0.7" right="0.7" top="0.75" bottom="0.75" header="0.3" footer="0.3"/>
  <ignoredErrors>
    <ignoredError sqref="H7:H8 H13 H16 H25:H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3"/>
  <sheetViews>
    <sheetView topLeftCell="B1" workbookViewId="0"/>
  </sheetViews>
  <sheetFormatPr baseColWidth="10" defaultColWidth="11.42578125" defaultRowHeight="15" x14ac:dyDescent="0.25"/>
  <cols>
    <col min="1" max="1" width="12" style="1" hidden="1" customWidth="1"/>
    <col min="2" max="2" width="5.7109375" style="88" bestFit="1" customWidth="1"/>
    <col min="3" max="3" width="54.28515625" style="89" customWidth="1"/>
    <col min="4" max="4" width="13.7109375" style="34" bestFit="1" customWidth="1"/>
    <col min="5" max="5" width="11.5703125" style="34" customWidth="1"/>
    <col min="6" max="6" width="10.28515625" style="11" bestFit="1" customWidth="1"/>
    <col min="7" max="8" width="10.28515625" style="34" bestFit="1" customWidth="1"/>
    <col min="9" max="9" width="10.28515625" style="2" bestFit="1" customWidth="1"/>
    <col min="10" max="10" width="8.85546875" style="2" bestFit="1" customWidth="1"/>
    <col min="11" max="16384" width="11.42578125" style="2"/>
  </cols>
  <sheetData>
    <row r="1" spans="1:10" ht="45" x14ac:dyDescent="0.25">
      <c r="B1" s="95"/>
      <c r="C1" s="96" t="s">
        <v>146</v>
      </c>
      <c r="D1" s="97" t="s">
        <v>130</v>
      </c>
      <c r="E1" s="97" t="s">
        <v>131</v>
      </c>
      <c r="F1" s="142">
        <v>2016</v>
      </c>
      <c r="G1" s="126">
        <v>2017</v>
      </c>
      <c r="H1" s="126">
        <v>2018</v>
      </c>
      <c r="I1" s="127">
        <v>2019</v>
      </c>
      <c r="J1" s="128">
        <v>2020</v>
      </c>
    </row>
    <row r="2" spans="1:10" x14ac:dyDescent="0.25">
      <c r="B2" s="3"/>
      <c r="C2" s="4"/>
      <c r="D2" s="5"/>
      <c r="E2" s="5"/>
      <c r="F2" s="136"/>
      <c r="G2" s="129"/>
      <c r="H2" s="129"/>
      <c r="I2" s="130"/>
      <c r="J2" s="131"/>
    </row>
    <row r="3" spans="1:10" x14ac:dyDescent="0.25">
      <c r="B3" s="6"/>
      <c r="C3" s="7" t="s">
        <v>0</v>
      </c>
      <c r="D3" s="8"/>
      <c r="E3" s="8"/>
      <c r="F3" s="140"/>
      <c r="G3" s="132"/>
      <c r="H3" s="132"/>
      <c r="I3" s="100"/>
      <c r="J3" s="133"/>
    </row>
    <row r="4" spans="1:10" s="1" customFormat="1" x14ac:dyDescent="0.25">
      <c r="A4" s="1">
        <v>4819</v>
      </c>
      <c r="B4" s="9">
        <v>1</v>
      </c>
      <c r="C4" s="10" t="s">
        <v>1</v>
      </c>
      <c r="D4" s="11">
        <v>97500</v>
      </c>
      <c r="E4" s="11">
        <v>62274</v>
      </c>
      <c r="F4" s="136">
        <f>30400+4800-2000</f>
        <v>33200</v>
      </c>
      <c r="G4" s="11">
        <v>2000</v>
      </c>
      <c r="H4" s="11"/>
      <c r="I4" s="12"/>
      <c r="J4" s="13"/>
    </row>
    <row r="5" spans="1:10" s="1" customFormat="1" x14ac:dyDescent="0.25">
      <c r="B5" s="14">
        <f t="shared" ref="B5:B15" si="0">1+B4</f>
        <v>2</v>
      </c>
      <c r="C5" s="15" t="s">
        <v>160</v>
      </c>
      <c r="D5" s="16">
        <v>90000</v>
      </c>
      <c r="E5" s="16"/>
      <c r="F5" s="136"/>
      <c r="G5" s="16">
        <v>20000</v>
      </c>
      <c r="H5" s="16">
        <v>29000</v>
      </c>
      <c r="I5" s="17">
        <v>22000</v>
      </c>
      <c r="J5" s="18">
        <v>4000</v>
      </c>
    </row>
    <row r="6" spans="1:10" s="1" customFormat="1" x14ac:dyDescent="0.25">
      <c r="A6" s="1">
        <v>391244874</v>
      </c>
      <c r="B6" s="9">
        <f t="shared" si="0"/>
        <v>3</v>
      </c>
      <c r="C6" s="10" t="s">
        <v>2</v>
      </c>
      <c r="D6" s="11">
        <f>24150+3800-2000</f>
        <v>25950</v>
      </c>
      <c r="E6" s="11">
        <v>24428</v>
      </c>
      <c r="F6" s="136">
        <v>400</v>
      </c>
      <c r="G6" s="11">
        <f>1800-400-270</f>
        <v>1130</v>
      </c>
      <c r="H6" s="11"/>
      <c r="I6" s="12"/>
      <c r="J6" s="13"/>
    </row>
    <row r="7" spans="1:10" s="1" customFormat="1" ht="30" x14ac:dyDescent="0.25">
      <c r="A7" s="1">
        <v>391266091</v>
      </c>
      <c r="B7" s="14">
        <f t="shared" si="0"/>
        <v>4</v>
      </c>
      <c r="C7" s="15" t="s">
        <v>161</v>
      </c>
      <c r="D7" s="16">
        <v>141000</v>
      </c>
      <c r="E7" s="16">
        <v>22758</v>
      </c>
      <c r="F7" s="136">
        <f>-78300+108300</f>
        <v>30000</v>
      </c>
      <c r="G7" s="16">
        <f>78300+9900</f>
        <v>88200</v>
      </c>
      <c r="H7" s="16"/>
      <c r="I7" s="17"/>
      <c r="J7" s="18"/>
    </row>
    <row r="8" spans="1:10" s="1" customFormat="1" x14ac:dyDescent="0.25">
      <c r="A8" s="1">
        <v>4700</v>
      </c>
      <c r="B8" s="9">
        <f t="shared" si="0"/>
        <v>5</v>
      </c>
      <c r="C8" s="10" t="s">
        <v>3</v>
      </c>
      <c r="D8" s="11"/>
      <c r="E8" s="11"/>
      <c r="F8" s="136">
        <v>1000</v>
      </c>
      <c r="G8" s="11">
        <v>1000</v>
      </c>
      <c r="H8" s="11">
        <v>1000</v>
      </c>
      <c r="I8" s="12">
        <v>1000</v>
      </c>
      <c r="J8" s="13">
        <v>1000</v>
      </c>
    </row>
    <row r="9" spans="1:10" s="1" customFormat="1" x14ac:dyDescent="0.25">
      <c r="A9" s="1">
        <v>3844001</v>
      </c>
      <c r="B9" s="14">
        <f t="shared" si="0"/>
        <v>6</v>
      </c>
      <c r="C9" s="15" t="s">
        <v>4</v>
      </c>
      <c r="D9" s="16">
        <v>55000</v>
      </c>
      <c r="E9" s="16">
        <v>9068</v>
      </c>
      <c r="F9" s="136">
        <f>19000+7900</f>
        <v>26900</v>
      </c>
      <c r="G9" s="16">
        <v>19000</v>
      </c>
      <c r="H9" s="16"/>
      <c r="I9" s="17"/>
      <c r="J9" s="18"/>
    </row>
    <row r="10" spans="1:10" s="19" customFormat="1" ht="30" x14ac:dyDescent="0.25">
      <c r="A10" s="1">
        <v>3844044</v>
      </c>
      <c r="B10" s="9">
        <f t="shared" si="0"/>
        <v>7</v>
      </c>
      <c r="C10" s="10" t="s">
        <v>162</v>
      </c>
      <c r="D10" s="11">
        <f>+F10+G10</f>
        <v>21900</v>
      </c>
      <c r="E10" s="11"/>
      <c r="F10" s="136">
        <v>7400</v>
      </c>
      <c r="G10" s="11">
        <v>14500</v>
      </c>
      <c r="H10" s="11"/>
      <c r="I10" s="12"/>
      <c r="J10" s="13"/>
    </row>
    <row r="11" spans="1:10" s="20" customFormat="1" x14ac:dyDescent="0.25">
      <c r="A11" s="20">
        <v>3844002</v>
      </c>
      <c r="B11" s="14">
        <f t="shared" si="0"/>
        <v>8</v>
      </c>
      <c r="C11" s="15" t="s">
        <v>5</v>
      </c>
      <c r="D11" s="113">
        <f>29700+2300</f>
        <v>32000</v>
      </c>
      <c r="E11" s="16">
        <v>1548</v>
      </c>
      <c r="F11" s="136">
        <v>13000</v>
      </c>
      <c r="G11" s="16">
        <f>14700+450+2300</f>
        <v>17450</v>
      </c>
      <c r="H11" s="16"/>
      <c r="I11" s="17"/>
      <c r="J11" s="18"/>
    </row>
    <row r="12" spans="1:10" s="23" customFormat="1" x14ac:dyDescent="0.25">
      <c r="A12" s="20"/>
      <c r="B12" s="9">
        <f t="shared" si="0"/>
        <v>9</v>
      </c>
      <c r="C12" s="10" t="s">
        <v>149</v>
      </c>
      <c r="D12" s="11">
        <v>140000</v>
      </c>
      <c r="E12" s="11"/>
      <c r="F12" s="137"/>
      <c r="G12" s="11"/>
      <c r="H12" s="11">
        <v>4000</v>
      </c>
      <c r="I12" s="11">
        <v>30000</v>
      </c>
      <c r="J12" s="24">
        <v>50000</v>
      </c>
    </row>
    <row r="13" spans="1:10" s="23" customFormat="1" x14ac:dyDescent="0.25">
      <c r="A13" s="20"/>
      <c r="B13" s="14">
        <f t="shared" si="0"/>
        <v>10</v>
      </c>
      <c r="C13" s="15" t="s">
        <v>150</v>
      </c>
      <c r="D13" s="16">
        <v>150000</v>
      </c>
      <c r="E13" s="16"/>
      <c r="F13" s="137"/>
      <c r="G13" s="16"/>
      <c r="H13" s="16">
        <v>4000</v>
      </c>
      <c r="I13" s="16">
        <v>30000</v>
      </c>
      <c r="J13" s="22">
        <v>50000</v>
      </c>
    </row>
    <row r="14" spans="1:10" s="20" customFormat="1" x14ac:dyDescent="0.25">
      <c r="B14" s="9">
        <f t="shared" si="0"/>
        <v>11</v>
      </c>
      <c r="C14" s="10" t="s">
        <v>134</v>
      </c>
      <c r="D14" s="11">
        <v>350</v>
      </c>
      <c r="E14" s="11"/>
      <c r="F14" s="136"/>
      <c r="G14" s="11"/>
      <c r="H14" s="11">
        <v>350</v>
      </c>
      <c r="I14" s="12"/>
      <c r="J14" s="13"/>
    </row>
    <row r="15" spans="1:10" s="1" customFormat="1" x14ac:dyDescent="0.25">
      <c r="A15" s="1">
        <v>44042401</v>
      </c>
      <c r="B15" s="14">
        <f t="shared" si="0"/>
        <v>12</v>
      </c>
      <c r="C15" s="15" t="s">
        <v>6</v>
      </c>
      <c r="D15" s="16"/>
      <c r="E15" s="25"/>
      <c r="F15" s="136">
        <v>1500</v>
      </c>
      <c r="G15" s="16">
        <v>1500</v>
      </c>
      <c r="H15" s="16">
        <v>1500</v>
      </c>
      <c r="I15" s="17">
        <v>1500</v>
      </c>
      <c r="J15" s="18">
        <v>1500</v>
      </c>
    </row>
    <row r="16" spans="1:10" x14ac:dyDescent="0.25">
      <c r="B16" s="26"/>
      <c r="C16" s="27" t="s">
        <v>7</v>
      </c>
      <c r="D16" s="28">
        <f>SUM(D4:D15)</f>
        <v>753700</v>
      </c>
      <c r="E16" s="28"/>
      <c r="F16" s="143">
        <f>SUM(F4:F15)</f>
        <v>113400</v>
      </c>
      <c r="G16" s="28">
        <f>SUM(G4:G15)</f>
        <v>164780</v>
      </c>
      <c r="H16" s="28">
        <f>SUM(H4:H15)</f>
        <v>39850</v>
      </c>
      <c r="I16" s="28">
        <f>SUM(I4:I15)</f>
        <v>84500</v>
      </c>
      <c r="J16" s="29">
        <f>SUM(J4:J15)</f>
        <v>106500</v>
      </c>
    </row>
    <row r="17" spans="1:10" x14ac:dyDescent="0.25">
      <c r="B17" s="30"/>
      <c r="C17" s="7" t="s">
        <v>8</v>
      </c>
      <c r="D17" s="31"/>
      <c r="E17" s="31"/>
      <c r="F17" s="136"/>
      <c r="G17" s="16"/>
      <c r="H17" s="16"/>
      <c r="I17" s="17"/>
      <c r="J17" s="18"/>
    </row>
    <row r="18" spans="1:10" s="1" customFormat="1" x14ac:dyDescent="0.25">
      <c r="A18" s="1">
        <v>384407</v>
      </c>
      <c r="B18" s="9">
        <f>1+B15</f>
        <v>13</v>
      </c>
      <c r="C18" s="10" t="s">
        <v>151</v>
      </c>
      <c r="D18" s="11">
        <v>251000</v>
      </c>
      <c r="E18" s="11"/>
      <c r="F18" s="136">
        <f>-3000+5000</f>
        <v>2000</v>
      </c>
      <c r="G18" s="11">
        <f>70000-30000+30000-20000-20000-25000</f>
        <v>5000</v>
      </c>
      <c r="H18" s="11">
        <f>60000+70000-40000+3000</f>
        <v>93000</v>
      </c>
      <c r="I18" s="12">
        <f>5000+25000+30000+42000-40000</f>
        <v>62000</v>
      </c>
      <c r="J18" s="13">
        <f>5000+19000+20000+5000-5000+25000</f>
        <v>69000</v>
      </c>
    </row>
    <row r="19" spans="1:10" s="20" customFormat="1" ht="30" x14ac:dyDescent="0.25">
      <c r="B19" s="14">
        <f>1+B18</f>
        <v>14</v>
      </c>
      <c r="C19" s="15" t="s">
        <v>163</v>
      </c>
      <c r="D19" s="16">
        <v>286000</v>
      </c>
      <c r="E19" s="16"/>
      <c r="F19" s="136"/>
      <c r="G19" s="16">
        <v>2000</v>
      </c>
      <c r="H19" s="16">
        <f>78000-40000</f>
        <v>38000</v>
      </c>
      <c r="I19" s="17">
        <v>90000</v>
      </c>
      <c r="J19" s="18">
        <f>10000+90000</f>
        <v>100000</v>
      </c>
    </row>
    <row r="20" spans="1:10" s="20" customFormat="1" x14ac:dyDescent="0.25">
      <c r="A20" s="20">
        <v>3844057</v>
      </c>
      <c r="B20" s="9">
        <f>1+B19</f>
        <v>15</v>
      </c>
      <c r="C20" s="10" t="s">
        <v>9</v>
      </c>
      <c r="D20" s="11">
        <v>25000</v>
      </c>
      <c r="E20" s="11"/>
      <c r="F20" s="136">
        <v>3000</v>
      </c>
      <c r="G20" s="11">
        <v>11000</v>
      </c>
      <c r="H20" s="11">
        <v>11000</v>
      </c>
      <c r="I20" s="12"/>
      <c r="J20" s="13"/>
    </row>
    <row r="21" spans="1:10" s="20" customFormat="1" x14ac:dyDescent="0.25">
      <c r="A21" s="20">
        <v>3844036</v>
      </c>
      <c r="B21" s="14">
        <f>1+B20</f>
        <v>16</v>
      </c>
      <c r="C21" s="15" t="s">
        <v>139</v>
      </c>
      <c r="D21" s="16">
        <f>15000+12000</f>
        <v>27000</v>
      </c>
      <c r="E21" s="16"/>
      <c r="F21" s="136">
        <f>7000-6000</f>
        <v>1000</v>
      </c>
      <c r="G21" s="16">
        <f>6000+8000</f>
        <v>14000</v>
      </c>
      <c r="H21" s="16">
        <v>12000</v>
      </c>
      <c r="I21" s="17"/>
      <c r="J21" s="18"/>
    </row>
    <row r="22" spans="1:10" s="20" customFormat="1" x14ac:dyDescent="0.25">
      <c r="B22" s="9">
        <f>1+B21</f>
        <v>17</v>
      </c>
      <c r="C22" s="10" t="s">
        <v>135</v>
      </c>
      <c r="D22" s="11">
        <v>17000</v>
      </c>
      <c r="E22" s="11"/>
      <c r="F22" s="136"/>
      <c r="G22" s="11">
        <v>17000</v>
      </c>
      <c r="H22" s="11"/>
      <c r="I22" s="12"/>
      <c r="J22" s="13"/>
    </row>
    <row r="23" spans="1:10" s="20" customFormat="1" x14ac:dyDescent="0.25">
      <c r="A23" s="20">
        <v>39144814</v>
      </c>
      <c r="B23" s="14">
        <f>B22+1</f>
        <v>18</v>
      </c>
      <c r="C23" s="15" t="s">
        <v>10</v>
      </c>
      <c r="D23" s="16">
        <v>182000</v>
      </c>
      <c r="E23" s="16">
        <v>156</v>
      </c>
      <c r="F23" s="136"/>
      <c r="G23" s="16">
        <v>2500</v>
      </c>
      <c r="H23" s="16">
        <f>80000-2600-50000-17000-5400</f>
        <v>5000</v>
      </c>
      <c r="I23" s="17">
        <f>102000-50000-42000</f>
        <v>10000</v>
      </c>
      <c r="J23" s="18">
        <f>50000-30000</f>
        <v>20000</v>
      </c>
    </row>
    <row r="24" spans="1:10" s="20" customFormat="1" x14ac:dyDescent="0.25">
      <c r="A24" s="20">
        <v>3844035</v>
      </c>
      <c r="B24" s="9">
        <f>1+B23</f>
        <v>19</v>
      </c>
      <c r="C24" s="10" t="s">
        <v>164</v>
      </c>
      <c r="D24" s="11">
        <f>48000-23000</f>
        <v>25000</v>
      </c>
      <c r="E24" s="11"/>
      <c r="F24" s="136">
        <f>48000-44000-2500</f>
        <v>1500</v>
      </c>
      <c r="G24" s="11">
        <f>44000-23000+2500-23500</f>
        <v>0</v>
      </c>
      <c r="H24" s="11">
        <v>23500</v>
      </c>
      <c r="I24" s="12"/>
      <c r="J24" s="13"/>
    </row>
    <row r="25" spans="1:10" s="20" customFormat="1" x14ac:dyDescent="0.25">
      <c r="A25" s="20">
        <v>3844013</v>
      </c>
      <c r="B25" s="14">
        <f>1+B24</f>
        <v>20</v>
      </c>
      <c r="C25" s="15" t="s">
        <v>152</v>
      </c>
      <c r="D25" s="16">
        <v>146000</v>
      </c>
      <c r="E25" s="16"/>
      <c r="F25" s="136">
        <v>2000</v>
      </c>
      <c r="G25" s="16">
        <v>10000</v>
      </c>
      <c r="H25" s="16">
        <f>50000-10000</f>
        <v>40000</v>
      </c>
      <c r="I25" s="17">
        <v>94000</v>
      </c>
      <c r="J25" s="18"/>
    </row>
    <row r="26" spans="1:10" s="20" customFormat="1" ht="30" x14ac:dyDescent="0.25">
      <c r="B26" s="9">
        <f t="shared" ref="B26:B32" si="1">1+B25</f>
        <v>21</v>
      </c>
      <c r="C26" s="20" t="s">
        <v>165</v>
      </c>
      <c r="D26" s="11">
        <v>196000</v>
      </c>
      <c r="E26" s="11"/>
      <c r="F26" s="136"/>
      <c r="G26" s="11"/>
      <c r="H26" s="11"/>
      <c r="I26" s="12">
        <v>1000</v>
      </c>
      <c r="J26" s="13">
        <v>2000</v>
      </c>
    </row>
    <row r="27" spans="1:10" s="20" customFormat="1" ht="30" x14ac:dyDescent="0.25">
      <c r="A27" s="20">
        <v>3844015</v>
      </c>
      <c r="B27" s="14">
        <f t="shared" si="1"/>
        <v>22</v>
      </c>
      <c r="C27" s="15" t="s">
        <v>166</v>
      </c>
      <c r="D27" s="16">
        <v>40500</v>
      </c>
      <c r="E27" s="16"/>
      <c r="F27" s="136">
        <v>3000</v>
      </c>
      <c r="G27" s="16">
        <v>37500</v>
      </c>
      <c r="H27" s="16"/>
      <c r="I27" s="17"/>
      <c r="J27" s="18"/>
    </row>
    <row r="28" spans="1:10" s="20" customFormat="1" ht="30" x14ac:dyDescent="0.25">
      <c r="A28" s="20">
        <v>3844016</v>
      </c>
      <c r="B28" s="9">
        <f t="shared" si="1"/>
        <v>23</v>
      </c>
      <c r="C28" s="20" t="s">
        <v>167</v>
      </c>
      <c r="D28" s="11">
        <f>30800+2500+100700</f>
        <v>134000</v>
      </c>
      <c r="E28" s="11"/>
      <c r="F28" s="136">
        <f>2000-1000</f>
        <v>1000</v>
      </c>
      <c r="G28" s="11">
        <v>11300</v>
      </c>
      <c r="H28" s="11">
        <f>1000+20000</f>
        <v>21000</v>
      </c>
      <c r="I28" s="12">
        <v>50000</v>
      </c>
      <c r="J28" s="13">
        <v>50700</v>
      </c>
    </row>
    <row r="29" spans="1:10" s="20" customFormat="1" x14ac:dyDescent="0.25">
      <c r="B29" s="14">
        <f t="shared" si="1"/>
        <v>24</v>
      </c>
      <c r="C29" s="100" t="s">
        <v>136</v>
      </c>
      <c r="D29" s="16">
        <f>11000+900</f>
        <v>11900</v>
      </c>
      <c r="E29" s="16"/>
      <c r="F29" s="136"/>
      <c r="G29" s="16">
        <f>11000+900</f>
        <v>11900</v>
      </c>
      <c r="H29" s="16"/>
      <c r="I29" s="17"/>
      <c r="J29" s="18"/>
    </row>
    <row r="30" spans="1:10" s="20" customFormat="1" x14ac:dyDescent="0.25">
      <c r="B30" s="9">
        <f t="shared" si="1"/>
        <v>25</v>
      </c>
      <c r="C30" s="1" t="s">
        <v>11</v>
      </c>
      <c r="D30" s="11">
        <v>11000</v>
      </c>
      <c r="E30" s="11"/>
      <c r="F30" s="136"/>
      <c r="G30" s="11">
        <v>11000</v>
      </c>
      <c r="H30" s="11"/>
      <c r="I30" s="12"/>
      <c r="J30" s="13"/>
    </row>
    <row r="31" spans="1:10" s="20" customFormat="1" x14ac:dyDescent="0.25">
      <c r="A31" s="20">
        <v>4703</v>
      </c>
      <c r="B31" s="14">
        <f t="shared" si="1"/>
        <v>26</v>
      </c>
      <c r="C31" s="15" t="s">
        <v>12</v>
      </c>
      <c r="D31" s="16"/>
      <c r="E31" s="16"/>
      <c r="F31" s="136">
        <v>2000</v>
      </c>
      <c r="G31" s="16">
        <v>2000</v>
      </c>
      <c r="H31" s="16">
        <v>2000</v>
      </c>
      <c r="I31" s="17">
        <v>2000</v>
      </c>
      <c r="J31" s="18">
        <v>2000</v>
      </c>
    </row>
    <row r="32" spans="1:10" s="20" customFormat="1" x14ac:dyDescent="0.25">
      <c r="A32" s="20">
        <v>4706</v>
      </c>
      <c r="B32" s="9">
        <f t="shared" si="1"/>
        <v>27</v>
      </c>
      <c r="C32" s="10" t="s">
        <v>13</v>
      </c>
      <c r="D32" s="11"/>
      <c r="E32" s="11"/>
      <c r="F32" s="136">
        <v>2500</v>
      </c>
      <c r="G32" s="11">
        <v>2500</v>
      </c>
      <c r="H32" s="11">
        <v>2500</v>
      </c>
      <c r="I32" s="12">
        <v>2500</v>
      </c>
      <c r="J32" s="13">
        <v>2500</v>
      </c>
    </row>
    <row r="33" spans="1:10" s="1" customFormat="1" x14ac:dyDescent="0.25">
      <c r="B33" s="39"/>
      <c r="C33" s="40" t="s">
        <v>14</v>
      </c>
      <c r="D33" s="41">
        <f>SUM(D18:D32)</f>
        <v>1352400</v>
      </c>
      <c r="E33" s="41"/>
      <c r="F33" s="136">
        <f>SUM(F17:F32)</f>
        <v>18000</v>
      </c>
      <c r="G33" s="41">
        <f>SUM(G17:G32)</f>
        <v>137700</v>
      </c>
      <c r="H33" s="41">
        <f>SUM(H17:H32)</f>
        <v>248000</v>
      </c>
      <c r="I33" s="41">
        <f>SUM(I17:I32)</f>
        <v>311500</v>
      </c>
      <c r="J33" s="29">
        <f>SUM(J17:J32)</f>
        <v>246200</v>
      </c>
    </row>
    <row r="34" spans="1:10" x14ac:dyDescent="0.25">
      <c r="B34" s="30"/>
      <c r="C34" s="7" t="s">
        <v>15</v>
      </c>
      <c r="D34" s="31"/>
      <c r="E34" s="31"/>
      <c r="F34" s="136"/>
      <c r="G34" s="16"/>
      <c r="H34" s="16"/>
      <c r="I34" s="17"/>
      <c r="J34" s="18"/>
    </row>
    <row r="35" spans="1:10" s="1" customFormat="1" x14ac:dyDescent="0.25">
      <c r="A35" s="1">
        <v>3844049</v>
      </c>
      <c r="B35" s="9">
        <f>1+B32</f>
        <v>28</v>
      </c>
      <c r="C35" s="114" t="s">
        <v>169</v>
      </c>
      <c r="D35" s="11">
        <v>36000</v>
      </c>
      <c r="E35" s="11"/>
      <c r="F35" s="136">
        <f>1000+2000-2900</f>
        <v>100</v>
      </c>
      <c r="G35" s="11">
        <v>15000</v>
      </c>
      <c r="H35" s="11">
        <f>14000+4000+2900</f>
        <v>20900</v>
      </c>
      <c r="I35" s="12"/>
      <c r="J35" s="13"/>
    </row>
    <row r="36" spans="1:10" s="1" customFormat="1" ht="30" x14ac:dyDescent="0.25">
      <c r="A36" s="1">
        <v>3844050</v>
      </c>
      <c r="B36" s="14">
        <f>1+B35</f>
        <v>29</v>
      </c>
      <c r="C36" s="70" t="s">
        <v>168</v>
      </c>
      <c r="D36" s="16">
        <v>47000</v>
      </c>
      <c r="E36" s="16"/>
      <c r="F36" s="136">
        <f>5000-5000</f>
        <v>0</v>
      </c>
      <c r="G36" s="16"/>
      <c r="H36" s="16">
        <v>5000</v>
      </c>
      <c r="I36" s="17">
        <v>30000</v>
      </c>
      <c r="J36" s="18">
        <v>12000</v>
      </c>
    </row>
    <row r="37" spans="1:10" s="1" customFormat="1" ht="30" x14ac:dyDescent="0.25">
      <c r="A37" s="1">
        <v>3844051</v>
      </c>
      <c r="B37" s="9">
        <f>1+B36</f>
        <v>30</v>
      </c>
      <c r="C37" s="10" t="s">
        <v>170</v>
      </c>
      <c r="D37" s="11">
        <v>45000</v>
      </c>
      <c r="E37" s="11"/>
      <c r="F37" s="136">
        <f>3100+6900</f>
        <v>10000</v>
      </c>
      <c r="G37" s="11">
        <f>20000-10000-6900</f>
        <v>3100</v>
      </c>
      <c r="H37" s="11">
        <f>5000+15000</f>
        <v>20000</v>
      </c>
      <c r="I37" s="12">
        <f>15000-3100</f>
        <v>11900</v>
      </c>
      <c r="J37" s="13"/>
    </row>
    <row r="38" spans="1:10" s="1" customFormat="1" ht="30" x14ac:dyDescent="0.25">
      <c r="A38" s="1">
        <v>3844018</v>
      </c>
      <c r="B38" s="14">
        <f>1+B37</f>
        <v>31</v>
      </c>
      <c r="C38" s="15" t="s">
        <v>141</v>
      </c>
      <c r="D38" s="16">
        <v>20000</v>
      </c>
      <c r="E38" s="16"/>
      <c r="F38" s="136">
        <f>2000-2000</f>
        <v>0</v>
      </c>
      <c r="G38" s="16">
        <f>15000-15000</f>
        <v>0</v>
      </c>
      <c r="H38" s="16">
        <f>3000-3000</f>
        <v>0</v>
      </c>
      <c r="I38" s="17">
        <v>2000</v>
      </c>
      <c r="J38" s="18">
        <v>15000</v>
      </c>
    </row>
    <row r="39" spans="1:10" s="1" customFormat="1" x14ac:dyDescent="0.25">
      <c r="A39" s="1">
        <v>4705</v>
      </c>
      <c r="B39" s="45">
        <f>1+B38</f>
        <v>32</v>
      </c>
      <c r="C39" s="10" t="s">
        <v>16</v>
      </c>
      <c r="D39" s="11"/>
      <c r="E39" s="11"/>
      <c r="F39" s="136">
        <v>2000</v>
      </c>
      <c r="G39" s="11">
        <v>2000</v>
      </c>
      <c r="H39" s="11">
        <v>2000</v>
      </c>
      <c r="I39" s="12">
        <v>2000</v>
      </c>
      <c r="J39" s="13">
        <v>2000</v>
      </c>
    </row>
    <row r="40" spans="1:10" s="1" customFormat="1" x14ac:dyDescent="0.25">
      <c r="A40" s="1">
        <v>4021</v>
      </c>
      <c r="B40" s="44">
        <f>1+B39</f>
        <v>33</v>
      </c>
      <c r="C40" s="15" t="s">
        <v>17</v>
      </c>
      <c r="D40" s="16"/>
      <c r="E40" s="16"/>
      <c r="F40" s="136">
        <v>1000</v>
      </c>
      <c r="G40" s="16">
        <v>1000</v>
      </c>
      <c r="H40" s="16">
        <v>1000</v>
      </c>
      <c r="I40" s="17">
        <v>2000</v>
      </c>
      <c r="J40" s="18">
        <v>1000</v>
      </c>
    </row>
    <row r="41" spans="1:10" x14ac:dyDescent="0.25">
      <c r="B41" s="47"/>
      <c r="C41" s="40" t="s">
        <v>18</v>
      </c>
      <c r="D41" s="41">
        <f>SUM(D35:D40)</f>
        <v>148000</v>
      </c>
      <c r="E41" s="41"/>
      <c r="F41" s="136">
        <f>SUM(F35:F40)</f>
        <v>13100</v>
      </c>
      <c r="G41" s="41">
        <f>SUM(G35:G40)</f>
        <v>21100</v>
      </c>
      <c r="H41" s="41">
        <f>SUM(H35:H40)</f>
        <v>48900</v>
      </c>
      <c r="I41" s="41">
        <f>SUM(I35:I40)</f>
        <v>47900</v>
      </c>
      <c r="J41" s="29">
        <f>SUM(J34:J40)</f>
        <v>30000</v>
      </c>
    </row>
    <row r="42" spans="1:10" x14ac:dyDescent="0.25">
      <c r="B42" s="30"/>
      <c r="C42" s="7" t="s">
        <v>19</v>
      </c>
      <c r="D42" s="31"/>
      <c r="E42" s="31"/>
      <c r="F42" s="136"/>
      <c r="G42" s="16"/>
      <c r="H42" s="16"/>
      <c r="I42" s="17"/>
      <c r="J42" s="18"/>
    </row>
    <row r="43" spans="1:10" s="1" customFormat="1" x14ac:dyDescent="0.25">
      <c r="A43" s="1">
        <v>3844052</v>
      </c>
      <c r="B43" s="9">
        <f>1+B40</f>
        <v>34</v>
      </c>
      <c r="C43" s="115" t="s">
        <v>20</v>
      </c>
      <c r="D43" s="11"/>
      <c r="E43" s="11"/>
      <c r="F43" s="136">
        <f>1000-500</f>
        <v>500</v>
      </c>
      <c r="G43" s="11">
        <f>500+1000</f>
        <v>1500</v>
      </c>
      <c r="H43" s="11"/>
      <c r="I43" s="12"/>
      <c r="J43" s="13"/>
    </row>
    <row r="44" spans="1:10" s="20" customFormat="1" ht="30" x14ac:dyDescent="0.25">
      <c r="A44" s="20">
        <v>4333</v>
      </c>
      <c r="B44" s="14">
        <f>1+B43</f>
        <v>35</v>
      </c>
      <c r="C44" s="15" t="s">
        <v>179</v>
      </c>
      <c r="D44" s="16">
        <f>35000+55000</f>
        <v>90000</v>
      </c>
      <c r="E44" s="16">
        <v>578</v>
      </c>
      <c r="F44" s="136">
        <f>38900-36400-1000</f>
        <v>1500</v>
      </c>
      <c r="G44" s="16">
        <f>30000+500-10000</f>
        <v>20500</v>
      </c>
      <c r="H44" s="16">
        <f>20000+26400-10000+1000</f>
        <v>37400</v>
      </c>
      <c r="I44" s="17">
        <f>10000+20000</f>
        <v>30000</v>
      </c>
      <c r="J44" s="18"/>
    </row>
    <row r="45" spans="1:10" s="48" customFormat="1" ht="30" x14ac:dyDescent="0.25">
      <c r="A45" s="48">
        <v>391444803</v>
      </c>
      <c r="B45" s="49">
        <f>1+B44</f>
        <v>36</v>
      </c>
      <c r="C45" s="50" t="s">
        <v>171</v>
      </c>
      <c r="D45" s="51">
        <f>37000+15000</f>
        <v>52000</v>
      </c>
      <c r="E45" s="51">
        <v>2758</v>
      </c>
      <c r="F45" s="136">
        <v>23800</v>
      </c>
      <c r="G45" s="51">
        <v>23000</v>
      </c>
      <c r="H45" s="51">
        <v>2400</v>
      </c>
      <c r="I45" s="52"/>
      <c r="J45" s="53"/>
    </row>
    <row r="46" spans="1:10" s="20" customFormat="1" x14ac:dyDescent="0.25">
      <c r="A46" s="20">
        <v>3844031</v>
      </c>
      <c r="B46" s="14">
        <f>1+B45</f>
        <v>37</v>
      </c>
      <c r="C46" s="15" t="s">
        <v>142</v>
      </c>
      <c r="D46" s="16">
        <v>5000</v>
      </c>
      <c r="E46" s="16"/>
      <c r="F46" s="136">
        <f>5000-2000</f>
        <v>3000</v>
      </c>
      <c r="G46" s="16">
        <v>2000</v>
      </c>
      <c r="H46" s="16"/>
      <c r="I46" s="17"/>
      <c r="J46" s="18"/>
    </row>
    <row r="47" spans="1:10" s="48" customFormat="1" x14ac:dyDescent="0.25">
      <c r="A47" s="48">
        <v>391244868</v>
      </c>
      <c r="B47" s="49">
        <f>B46+1</f>
        <v>38</v>
      </c>
      <c r="C47" s="50" t="s">
        <v>180</v>
      </c>
      <c r="D47" s="51"/>
      <c r="E47" s="51"/>
      <c r="F47" s="136">
        <f>2000-2000</f>
        <v>0</v>
      </c>
      <c r="G47" s="51">
        <v>2000</v>
      </c>
      <c r="H47" s="51"/>
      <c r="I47" s="52"/>
      <c r="J47" s="53"/>
    </row>
    <row r="48" spans="1:10" s="1" customFormat="1" ht="30" x14ac:dyDescent="0.25">
      <c r="A48" s="1">
        <v>3844038</v>
      </c>
      <c r="B48" s="14">
        <f>1+B47</f>
        <v>39</v>
      </c>
      <c r="C48" s="54" t="s">
        <v>178</v>
      </c>
      <c r="D48" s="16">
        <v>12000</v>
      </c>
      <c r="E48" s="16"/>
      <c r="F48" s="136">
        <f>6000-3000-1000</f>
        <v>2000</v>
      </c>
      <c r="G48" s="16">
        <f>6000+3000+1000</f>
        <v>10000</v>
      </c>
      <c r="H48" s="16"/>
      <c r="I48" s="17"/>
      <c r="J48" s="18"/>
    </row>
    <row r="49" spans="1:10" s="48" customFormat="1" ht="30" x14ac:dyDescent="0.25">
      <c r="A49" s="48">
        <v>4337</v>
      </c>
      <c r="B49" s="49">
        <f>1+B48</f>
        <v>40</v>
      </c>
      <c r="C49" s="50" t="s">
        <v>172</v>
      </c>
      <c r="D49" s="51">
        <f>470000+4000</f>
        <v>474000</v>
      </c>
      <c r="E49" s="51">
        <v>103532</v>
      </c>
      <c r="F49" s="136">
        <f>150400+44600</f>
        <v>195000</v>
      </c>
      <c r="G49" s="51">
        <f>229000-37900-44600</f>
        <v>146500</v>
      </c>
      <c r="H49" s="51">
        <f>25000+4000</f>
        <v>29000</v>
      </c>
      <c r="I49" s="52"/>
      <c r="J49" s="53"/>
    </row>
    <row r="50" spans="1:10" s="20" customFormat="1" ht="30" x14ac:dyDescent="0.25">
      <c r="A50" s="20">
        <v>3844021</v>
      </c>
      <c r="B50" s="14">
        <f t="shared" ref="B50:B55" si="2">1+B49</f>
        <v>41</v>
      </c>
      <c r="C50" s="15" t="s">
        <v>173</v>
      </c>
      <c r="D50" s="16">
        <v>60000</v>
      </c>
      <c r="E50" s="16">
        <v>36</v>
      </c>
      <c r="F50" s="136">
        <f>2000-1500</f>
        <v>500</v>
      </c>
      <c r="G50" s="16">
        <f>38000+2000-25000</f>
        <v>15000</v>
      </c>
      <c r="H50" s="16">
        <f>15000+25000</f>
        <v>40000</v>
      </c>
      <c r="I50" s="17">
        <f>3000+1500</f>
        <v>4500</v>
      </c>
      <c r="J50" s="18"/>
    </row>
    <row r="51" spans="1:10" s="48" customFormat="1" ht="30" x14ac:dyDescent="0.25">
      <c r="A51" s="48">
        <v>3844023</v>
      </c>
      <c r="B51" s="49">
        <f t="shared" si="2"/>
        <v>42</v>
      </c>
      <c r="C51" s="50" t="s">
        <v>195</v>
      </c>
      <c r="D51" s="51">
        <v>3000</v>
      </c>
      <c r="E51" s="51"/>
      <c r="F51" s="136">
        <f>1500-1500</f>
        <v>0</v>
      </c>
      <c r="G51" s="51">
        <f>1500+1500</f>
        <v>3000</v>
      </c>
      <c r="H51" s="51"/>
      <c r="I51" s="52"/>
      <c r="J51" s="53"/>
    </row>
    <row r="52" spans="1:10" s="20" customFormat="1" x14ac:dyDescent="0.25">
      <c r="B52" s="14">
        <f t="shared" si="2"/>
        <v>43</v>
      </c>
      <c r="C52" s="15" t="s">
        <v>133</v>
      </c>
      <c r="D52" s="16"/>
      <c r="E52" s="16"/>
      <c r="F52" s="136"/>
      <c r="G52" s="16">
        <v>2000</v>
      </c>
      <c r="H52" s="16">
        <v>3000</v>
      </c>
      <c r="I52" s="17">
        <v>4000</v>
      </c>
      <c r="J52" s="18">
        <v>4000</v>
      </c>
    </row>
    <row r="53" spans="1:10" s="48" customFormat="1" x14ac:dyDescent="0.25">
      <c r="B53" s="49">
        <f t="shared" si="2"/>
        <v>44</v>
      </c>
      <c r="C53" s="50" t="s">
        <v>181</v>
      </c>
      <c r="D53" s="51"/>
      <c r="E53" s="51"/>
      <c r="F53" s="136"/>
      <c r="G53" s="51"/>
      <c r="H53" s="51">
        <v>2000</v>
      </c>
      <c r="I53" s="52"/>
      <c r="J53" s="53"/>
    </row>
    <row r="54" spans="1:10" s="20" customFormat="1" ht="30" x14ac:dyDescent="0.25">
      <c r="B54" s="14">
        <f t="shared" si="2"/>
        <v>45</v>
      </c>
      <c r="C54" s="15" t="s">
        <v>174</v>
      </c>
      <c r="D54" s="16">
        <v>40000</v>
      </c>
      <c r="E54" s="16"/>
      <c r="F54" s="136"/>
      <c r="G54" s="16">
        <v>40000</v>
      </c>
      <c r="H54" s="16"/>
      <c r="I54" s="17"/>
      <c r="J54" s="18"/>
    </row>
    <row r="55" spans="1:10" s="48" customFormat="1" x14ac:dyDescent="0.25">
      <c r="A55" s="48">
        <v>3844040</v>
      </c>
      <c r="B55" s="49">
        <f t="shared" si="2"/>
        <v>46</v>
      </c>
      <c r="C55" s="48" t="s">
        <v>175</v>
      </c>
      <c r="D55" s="51">
        <v>3000</v>
      </c>
      <c r="E55" s="51"/>
      <c r="F55" s="136">
        <v>2000</v>
      </c>
      <c r="G55" s="51">
        <v>1000</v>
      </c>
      <c r="H55" s="51"/>
      <c r="I55" s="52"/>
      <c r="J55" s="53"/>
    </row>
    <row r="56" spans="1:10" s="48" customFormat="1" ht="30" x14ac:dyDescent="0.25">
      <c r="A56" s="48">
        <v>3844041</v>
      </c>
      <c r="B56" s="14">
        <f>1+B55</f>
        <v>47</v>
      </c>
      <c r="C56" s="54" t="s">
        <v>21</v>
      </c>
      <c r="D56" s="16">
        <v>2000</v>
      </c>
      <c r="E56" s="16"/>
      <c r="F56" s="136">
        <v>1000</v>
      </c>
      <c r="G56" s="16">
        <v>1000</v>
      </c>
      <c r="H56" s="16"/>
      <c r="I56" s="17"/>
      <c r="J56" s="18"/>
    </row>
    <row r="57" spans="1:10" s="20" customFormat="1" x14ac:dyDescent="0.25">
      <c r="A57" s="20">
        <v>4711</v>
      </c>
      <c r="B57" s="9">
        <f>1+B56</f>
        <v>48</v>
      </c>
      <c r="C57" s="10" t="s">
        <v>22</v>
      </c>
      <c r="D57" s="11"/>
      <c r="E57" s="11"/>
      <c r="F57" s="136">
        <v>1000</v>
      </c>
      <c r="G57" s="11">
        <v>1000</v>
      </c>
      <c r="H57" s="11">
        <v>1000</v>
      </c>
      <c r="I57" s="11">
        <v>1000</v>
      </c>
      <c r="J57" s="24">
        <v>1000</v>
      </c>
    </row>
    <row r="58" spans="1:10" s="48" customFormat="1" x14ac:dyDescent="0.25">
      <c r="A58" s="48">
        <v>39124400001</v>
      </c>
      <c r="B58" s="49">
        <f>1+B57</f>
        <v>49</v>
      </c>
      <c r="C58" s="50" t="s">
        <v>176</v>
      </c>
      <c r="D58" s="51">
        <v>25000</v>
      </c>
      <c r="E58" s="51">
        <v>257</v>
      </c>
      <c r="F58" s="136">
        <f>18900-9900</f>
        <v>9000</v>
      </c>
      <c r="G58" s="51">
        <f>4000+1800+9900</f>
        <v>15700</v>
      </c>
      <c r="H58" s="51"/>
      <c r="I58" s="52"/>
      <c r="J58" s="53"/>
    </row>
    <row r="59" spans="1:10" s="20" customFormat="1" x14ac:dyDescent="0.25">
      <c r="A59" s="20">
        <v>39124400002</v>
      </c>
      <c r="B59" s="14">
        <f>1+B58</f>
        <v>50</v>
      </c>
      <c r="C59" s="15" t="s">
        <v>177</v>
      </c>
      <c r="D59" s="16">
        <f>25000+1500</f>
        <v>26500</v>
      </c>
      <c r="E59" s="16">
        <v>2424</v>
      </c>
      <c r="F59" s="136">
        <f>12800+2200-7000</f>
        <v>8000</v>
      </c>
      <c r="G59" s="16">
        <f>10000-900+7000</f>
        <v>16100</v>
      </c>
      <c r="H59" s="16"/>
      <c r="I59" s="17"/>
      <c r="J59" s="18"/>
    </row>
    <row r="60" spans="1:10" x14ac:dyDescent="0.25">
      <c r="B60" s="55"/>
      <c r="C60" s="56" t="s">
        <v>23</v>
      </c>
      <c r="D60" s="57">
        <f>SUM(D42:D59)</f>
        <v>792500</v>
      </c>
      <c r="E60" s="57"/>
      <c r="F60" s="136">
        <f>SUM(F42:F59)</f>
        <v>247300</v>
      </c>
      <c r="G60" s="41">
        <f>SUM(G42:G59)</f>
        <v>300300</v>
      </c>
      <c r="H60" s="41">
        <f>SUM(H42:H59)</f>
        <v>114800</v>
      </c>
      <c r="I60" s="41">
        <f>SUM(I42:I59)</f>
        <v>39500</v>
      </c>
      <c r="J60" s="29">
        <f>SUM(J42:J59)</f>
        <v>5000</v>
      </c>
    </row>
    <row r="61" spans="1:10" x14ac:dyDescent="0.25">
      <c r="B61" s="30"/>
      <c r="C61" s="7" t="s">
        <v>24</v>
      </c>
      <c r="D61" s="31"/>
      <c r="E61" s="31"/>
      <c r="F61" s="136"/>
      <c r="G61" s="16"/>
      <c r="H61" s="16"/>
      <c r="I61" s="17"/>
      <c r="J61" s="18"/>
    </row>
    <row r="62" spans="1:10" s="1" customFormat="1" x14ac:dyDescent="0.25">
      <c r="A62" s="1">
        <v>4712</v>
      </c>
      <c r="B62" s="9">
        <f>1+B59</f>
        <v>51</v>
      </c>
      <c r="C62" s="10" t="s">
        <v>25</v>
      </c>
      <c r="D62" s="11"/>
      <c r="E62" s="11"/>
      <c r="F62" s="136">
        <v>500</v>
      </c>
      <c r="G62" s="11">
        <v>500</v>
      </c>
      <c r="H62" s="11">
        <v>500</v>
      </c>
      <c r="I62" s="12">
        <f>+H62</f>
        <v>500</v>
      </c>
      <c r="J62" s="13">
        <v>500</v>
      </c>
    </row>
    <row r="63" spans="1:10" s="1" customFormat="1" x14ac:dyDescent="0.25">
      <c r="B63" s="14">
        <f>1+B62</f>
        <v>52</v>
      </c>
      <c r="C63" s="15" t="s">
        <v>143</v>
      </c>
      <c r="D63" s="16">
        <v>78000</v>
      </c>
      <c r="E63" s="16"/>
      <c r="F63" s="136"/>
      <c r="G63" s="16"/>
      <c r="H63" s="16">
        <v>1000</v>
      </c>
      <c r="I63" s="17">
        <v>10000</v>
      </c>
      <c r="J63" s="18">
        <v>40000</v>
      </c>
    </row>
    <row r="64" spans="1:10" s="58" customFormat="1" ht="30" x14ac:dyDescent="0.25">
      <c r="B64" s="49">
        <f>+B63+1</f>
        <v>53</v>
      </c>
      <c r="C64" s="50" t="s">
        <v>182</v>
      </c>
      <c r="D64" s="51">
        <v>29200</v>
      </c>
      <c r="E64" s="51"/>
      <c r="F64" s="136"/>
      <c r="G64" s="51"/>
      <c r="H64" s="51"/>
      <c r="I64" s="52"/>
      <c r="J64" s="53">
        <v>5000</v>
      </c>
    </row>
    <row r="65" spans="1:10" s="19" customFormat="1" x14ac:dyDescent="0.25">
      <c r="A65" s="1">
        <v>3844024</v>
      </c>
      <c r="B65" s="14">
        <f>1+B64</f>
        <v>54</v>
      </c>
      <c r="C65" s="15" t="s">
        <v>183</v>
      </c>
      <c r="D65" s="16">
        <f>40000+39000+7000</f>
        <v>86000</v>
      </c>
      <c r="E65" s="16"/>
      <c r="F65" s="136">
        <v>10000</v>
      </c>
      <c r="G65" s="16">
        <f>30000</f>
        <v>30000</v>
      </c>
      <c r="H65" s="16">
        <v>46000</v>
      </c>
      <c r="I65" s="17"/>
      <c r="J65" s="18"/>
    </row>
    <row r="66" spans="1:10" s="116" customFormat="1" ht="30" x14ac:dyDescent="0.25">
      <c r="A66" s="58"/>
      <c r="B66" s="49">
        <f>1+B65</f>
        <v>55</v>
      </c>
      <c r="C66" s="50" t="s">
        <v>184</v>
      </c>
      <c r="D66" s="51">
        <f>4500+62000</f>
        <v>66500</v>
      </c>
      <c r="E66" s="51"/>
      <c r="F66" s="136"/>
      <c r="G66" s="51">
        <f>10000-5000</f>
        <v>5000</v>
      </c>
      <c r="H66" s="51">
        <v>10000</v>
      </c>
      <c r="I66" s="52">
        <f>35000-5000</f>
        <v>30000</v>
      </c>
      <c r="J66" s="53">
        <v>7000</v>
      </c>
    </row>
    <row r="67" spans="1:10" s="19" customFormat="1" x14ac:dyDescent="0.25">
      <c r="A67" s="1"/>
      <c r="B67" s="14">
        <f>1+B66</f>
        <v>56</v>
      </c>
      <c r="C67" s="15" t="s">
        <v>185</v>
      </c>
      <c r="D67" s="16">
        <v>50000</v>
      </c>
      <c r="E67" s="16"/>
      <c r="F67" s="136"/>
      <c r="G67" s="16">
        <v>5000</v>
      </c>
      <c r="H67" s="16">
        <f>15500-5000</f>
        <v>10500</v>
      </c>
      <c r="I67" s="17">
        <v>20000</v>
      </c>
      <c r="J67" s="18">
        <v>2500</v>
      </c>
    </row>
    <row r="68" spans="1:10" s="116" customFormat="1" x14ac:dyDescent="0.25">
      <c r="A68" s="58"/>
      <c r="B68" s="49">
        <f>1+B67</f>
        <v>57</v>
      </c>
      <c r="C68" s="50" t="s">
        <v>26</v>
      </c>
      <c r="D68" s="51"/>
      <c r="E68" s="51"/>
      <c r="F68" s="136">
        <f>1000-1000</f>
        <v>0</v>
      </c>
      <c r="G68" s="51">
        <f>1000+2000</f>
        <v>3000</v>
      </c>
      <c r="H68" s="51"/>
      <c r="I68" s="52"/>
      <c r="J68" s="53"/>
    </row>
    <row r="69" spans="1:10" s="1" customFormat="1" x14ac:dyDescent="0.25">
      <c r="B69" s="14">
        <f t="shared" ref="B69:B75" si="3">1+B68</f>
        <v>58</v>
      </c>
      <c r="C69" s="15" t="s">
        <v>27</v>
      </c>
      <c r="D69" s="16">
        <v>40000</v>
      </c>
      <c r="E69" s="16"/>
      <c r="F69" s="136"/>
      <c r="G69" s="16">
        <v>2000</v>
      </c>
      <c r="H69" s="16">
        <v>25000</v>
      </c>
      <c r="I69" s="17">
        <v>13000</v>
      </c>
      <c r="J69" s="18"/>
    </row>
    <row r="70" spans="1:10" s="58" customFormat="1" ht="30" x14ac:dyDescent="0.25">
      <c r="A70" s="58">
        <v>3866002</v>
      </c>
      <c r="B70" s="49">
        <f t="shared" si="3"/>
        <v>59</v>
      </c>
      <c r="C70" s="50" t="s">
        <v>186</v>
      </c>
      <c r="D70" s="51">
        <f>22000-1364+10000+2900</f>
        <v>33536</v>
      </c>
      <c r="E70" s="51">
        <v>206</v>
      </c>
      <c r="F70" s="136">
        <v>21500</v>
      </c>
      <c r="G70" s="51">
        <f>8900+2900</f>
        <v>11800</v>
      </c>
      <c r="H70" s="51"/>
      <c r="I70" s="52"/>
      <c r="J70" s="53"/>
    </row>
    <row r="71" spans="1:10" s="1" customFormat="1" x14ac:dyDescent="0.25">
      <c r="A71" s="1">
        <v>1351</v>
      </c>
      <c r="B71" s="14">
        <f t="shared" si="3"/>
        <v>60</v>
      </c>
      <c r="C71" s="15" t="s">
        <v>28</v>
      </c>
      <c r="D71" s="16">
        <v>10000</v>
      </c>
      <c r="E71" s="16">
        <v>4203</v>
      </c>
      <c r="F71" s="136">
        <f>5700-5000</f>
        <v>700</v>
      </c>
      <c r="G71" s="16">
        <v>5000</v>
      </c>
      <c r="H71" s="16"/>
      <c r="I71" s="17"/>
      <c r="J71" s="18"/>
    </row>
    <row r="72" spans="1:10" s="58" customFormat="1" x14ac:dyDescent="0.25">
      <c r="B72" s="49">
        <f>1+B71</f>
        <v>61</v>
      </c>
      <c r="C72" s="50" t="s">
        <v>29</v>
      </c>
      <c r="D72" s="51"/>
      <c r="E72" s="51"/>
      <c r="F72" s="136"/>
      <c r="G72" s="11">
        <f>2400+1600</f>
        <v>4000</v>
      </c>
      <c r="H72" s="51"/>
      <c r="I72" s="52"/>
      <c r="J72" s="53"/>
    </row>
    <row r="73" spans="1:10" s="1" customFormat="1" x14ac:dyDescent="0.25">
      <c r="A73" s="1">
        <v>3844059</v>
      </c>
      <c r="B73" s="14">
        <f>1+B72</f>
        <v>62</v>
      </c>
      <c r="C73" s="15" t="s">
        <v>187</v>
      </c>
      <c r="D73" s="16">
        <v>6600</v>
      </c>
      <c r="E73" s="16"/>
      <c r="F73" s="136">
        <v>600</v>
      </c>
      <c r="G73" s="16">
        <v>2000</v>
      </c>
      <c r="H73" s="16"/>
      <c r="I73" s="17">
        <v>4000</v>
      </c>
      <c r="J73" s="18"/>
    </row>
    <row r="74" spans="1:10" s="58" customFormat="1" x14ac:dyDescent="0.25">
      <c r="A74" s="58">
        <v>391444819</v>
      </c>
      <c r="B74" s="49">
        <f t="shared" si="3"/>
        <v>63</v>
      </c>
      <c r="C74" s="50" t="s">
        <v>30</v>
      </c>
      <c r="D74" s="51">
        <f>120000+5000</f>
        <v>125000</v>
      </c>
      <c r="E74" s="51">
        <v>23174</v>
      </c>
      <c r="F74" s="136">
        <v>65000</v>
      </c>
      <c r="G74" s="51">
        <f>22900+8900+5000</f>
        <v>36800</v>
      </c>
      <c r="H74" s="51"/>
      <c r="I74" s="52"/>
      <c r="J74" s="53"/>
    </row>
    <row r="75" spans="1:10" s="1" customFormat="1" ht="30" x14ac:dyDescent="0.25">
      <c r="A75" s="1">
        <v>3844003</v>
      </c>
      <c r="B75" s="14">
        <f t="shared" si="3"/>
        <v>64</v>
      </c>
      <c r="C75" s="15" t="s">
        <v>31</v>
      </c>
      <c r="D75" s="16">
        <f>87000+108000+40000</f>
        <v>235000</v>
      </c>
      <c r="E75" s="16">
        <v>2295</v>
      </c>
      <c r="F75" s="136">
        <f>55000-5000-41000</f>
        <v>9000</v>
      </c>
      <c r="G75" s="16">
        <f>41000+56000+5000-20000+21000</f>
        <v>103000</v>
      </c>
      <c r="H75" s="16">
        <f>41000+20000+20000+20000</f>
        <v>101000</v>
      </c>
      <c r="I75" s="17">
        <v>20000</v>
      </c>
      <c r="J75" s="18"/>
    </row>
    <row r="76" spans="1:10" x14ac:dyDescent="0.25">
      <c r="B76" s="26"/>
      <c r="C76" s="40" t="s">
        <v>32</v>
      </c>
      <c r="D76" s="41">
        <f>SUM(D62:D75)</f>
        <v>759836</v>
      </c>
      <c r="E76" s="41"/>
      <c r="F76" s="136">
        <f>SUM(F62:F75)</f>
        <v>107300</v>
      </c>
      <c r="G76" s="41">
        <f>SUM(G62:G75)</f>
        <v>208100</v>
      </c>
      <c r="H76" s="41">
        <f>SUM(H62:H75)</f>
        <v>194000</v>
      </c>
      <c r="I76" s="28">
        <f>SUM(I62:I75)</f>
        <v>97500</v>
      </c>
      <c r="J76" s="59">
        <f>SUM(J62:J75)</f>
        <v>55000</v>
      </c>
    </row>
    <row r="77" spans="1:10" s="104" customFormat="1" x14ac:dyDescent="0.25">
      <c r="A77" s="58">
        <v>3888005</v>
      </c>
      <c r="B77" s="105">
        <f>1+B75</f>
        <v>65</v>
      </c>
      <c r="C77" s="102" t="s">
        <v>33</v>
      </c>
      <c r="D77" s="103"/>
      <c r="E77" s="103"/>
      <c r="F77" s="136">
        <f>26000-12000</f>
        <v>14000</v>
      </c>
      <c r="G77" s="51">
        <v>8000</v>
      </c>
      <c r="H77" s="51">
        <v>3500</v>
      </c>
      <c r="I77" s="134">
        <v>3500</v>
      </c>
      <c r="J77" s="98"/>
    </row>
    <row r="78" spans="1:10" s="104" customFormat="1" ht="30" x14ac:dyDescent="0.25">
      <c r="A78" s="58"/>
      <c r="B78" s="44">
        <f>1+B77</f>
        <v>66</v>
      </c>
      <c r="C78" s="123" t="s">
        <v>157</v>
      </c>
      <c r="D78" s="124">
        <v>25000</v>
      </c>
      <c r="E78" s="124"/>
      <c r="F78" s="136"/>
      <c r="G78" s="16">
        <v>25000</v>
      </c>
      <c r="H78" s="16"/>
      <c r="I78" s="16"/>
      <c r="J78" s="22"/>
    </row>
    <row r="79" spans="1:10" x14ac:dyDescent="0.25">
      <c r="B79" s="47"/>
      <c r="C79" s="40" t="s">
        <v>34</v>
      </c>
      <c r="D79" s="41">
        <f>+D76+D60+D41+D33+D16</f>
        <v>3806436</v>
      </c>
      <c r="E79" s="41"/>
      <c r="F79" s="136">
        <f>F16+F33+F41+F60+F76+F77</f>
        <v>513100</v>
      </c>
      <c r="G79" s="41">
        <f>G16+G33+G41+G60+G76+G77+G78</f>
        <v>864980</v>
      </c>
      <c r="H79" s="41">
        <f>H16+H33+H41+H60+H76+H77</f>
        <v>649050</v>
      </c>
      <c r="I79" s="41">
        <f>I16+I33+I41+I60+I76+I77</f>
        <v>584400</v>
      </c>
      <c r="J79" s="29">
        <f>J16+J33+J41+J60+J76+J77</f>
        <v>442700</v>
      </c>
    </row>
    <row r="80" spans="1:10" x14ac:dyDescent="0.25">
      <c r="B80" s="32"/>
      <c r="C80" s="33" t="s">
        <v>35</v>
      </c>
      <c r="F80" s="136"/>
      <c r="G80" s="11"/>
      <c r="H80" s="11"/>
      <c r="I80" s="12"/>
      <c r="J80" s="13"/>
    </row>
    <row r="81" spans="1:10" x14ac:dyDescent="0.25">
      <c r="B81" s="30">
        <f>1+B78</f>
        <v>67</v>
      </c>
      <c r="C81" s="107" t="s">
        <v>137</v>
      </c>
      <c r="D81" s="31"/>
      <c r="E81" s="31"/>
      <c r="F81" s="136"/>
      <c r="G81" s="16">
        <v>5000</v>
      </c>
      <c r="H81" s="16">
        <v>5000</v>
      </c>
      <c r="I81" s="17">
        <v>5000</v>
      </c>
      <c r="J81" s="18">
        <v>5000</v>
      </c>
    </row>
    <row r="82" spans="1:10" s="1" customFormat="1" x14ac:dyDescent="0.25">
      <c r="B82" s="9"/>
      <c r="C82" s="36" t="s">
        <v>36</v>
      </c>
      <c r="D82" s="11"/>
      <c r="E82" s="11"/>
      <c r="F82" s="136"/>
      <c r="G82" s="11"/>
      <c r="H82" s="11"/>
      <c r="I82" s="12"/>
      <c r="J82" s="13"/>
    </row>
    <row r="83" spans="1:10" s="1" customFormat="1" x14ac:dyDescent="0.25">
      <c r="A83" s="1">
        <v>391433000</v>
      </c>
      <c r="B83" s="9">
        <f>1+B81</f>
        <v>68</v>
      </c>
      <c r="C83" s="10" t="s">
        <v>37</v>
      </c>
      <c r="D83" s="11">
        <v>8000</v>
      </c>
      <c r="E83" s="11">
        <v>4000</v>
      </c>
      <c r="F83" s="136">
        <f>4000-2000</f>
        <v>2000</v>
      </c>
      <c r="G83" s="11">
        <v>2000</v>
      </c>
      <c r="H83" s="11"/>
      <c r="I83" s="12"/>
      <c r="J83" s="13"/>
    </row>
    <row r="84" spans="1:10" x14ac:dyDescent="0.25">
      <c r="B84" s="30"/>
      <c r="C84" s="60" t="s">
        <v>38</v>
      </c>
      <c r="D84" s="31"/>
      <c r="E84" s="16"/>
      <c r="F84" s="136"/>
      <c r="G84" s="16"/>
      <c r="H84" s="16"/>
      <c r="I84" s="16"/>
      <c r="J84" s="22"/>
    </row>
    <row r="85" spans="1:10" x14ac:dyDescent="0.25">
      <c r="A85" s="1">
        <v>391482090</v>
      </c>
      <c r="B85" s="32">
        <f>1+B83</f>
        <v>69</v>
      </c>
      <c r="C85" s="10" t="s">
        <v>39</v>
      </c>
      <c r="D85" s="11">
        <v>150000</v>
      </c>
      <c r="E85" s="11">
        <v>121875</v>
      </c>
      <c r="F85" s="136">
        <f>17400+10700-1900</f>
        <v>26200</v>
      </c>
      <c r="G85" s="11">
        <v>1900</v>
      </c>
      <c r="H85" s="11"/>
      <c r="I85" s="12"/>
      <c r="J85" s="13"/>
    </row>
    <row r="86" spans="1:10" s="43" customFormat="1" x14ac:dyDescent="0.25">
      <c r="A86" s="1">
        <v>388806</v>
      </c>
      <c r="B86" s="106">
        <f>1+B85</f>
        <v>70</v>
      </c>
      <c r="C86" s="107" t="s">
        <v>40</v>
      </c>
      <c r="D86" s="107"/>
      <c r="E86" s="107"/>
      <c r="F86" s="141">
        <f>5000-1500</f>
        <v>3500</v>
      </c>
      <c r="G86" s="100">
        <v>1500</v>
      </c>
      <c r="H86" s="100"/>
      <c r="I86" s="100"/>
      <c r="J86" s="133"/>
    </row>
    <row r="87" spans="1:10" x14ac:dyDescent="0.25">
      <c r="B87" s="47"/>
      <c r="C87" s="40" t="s">
        <v>41</v>
      </c>
      <c r="D87" s="41">
        <f>SUM(D82:D85)</f>
        <v>158000</v>
      </c>
      <c r="E87" s="41"/>
      <c r="F87" s="136">
        <f>SUM(F82:F86)</f>
        <v>31700</v>
      </c>
      <c r="G87" s="41">
        <f>SUM(G81:G86)</f>
        <v>10400</v>
      </c>
      <c r="H87" s="41">
        <f>SUM(H81:H86)</f>
        <v>5000</v>
      </c>
      <c r="I87" s="41">
        <f>SUM(I81:I86)</f>
        <v>5000</v>
      </c>
      <c r="J87" s="29">
        <f>SUM(J81:J86)</f>
        <v>5000</v>
      </c>
    </row>
    <row r="88" spans="1:10" x14ac:dyDescent="0.25">
      <c r="B88" s="30"/>
      <c r="C88" s="7" t="s">
        <v>42</v>
      </c>
      <c r="D88" s="31"/>
      <c r="E88" s="31"/>
      <c r="F88" s="136"/>
      <c r="G88" s="16"/>
      <c r="H88" s="16"/>
      <c r="I88" s="17"/>
      <c r="J88" s="18"/>
    </row>
    <row r="89" spans="1:10" x14ac:dyDescent="0.25">
      <c r="B89" s="32">
        <f>1+B86</f>
        <v>71</v>
      </c>
      <c r="C89" s="10" t="s">
        <v>43</v>
      </c>
      <c r="E89" s="11"/>
      <c r="F89" s="136">
        <v>1100</v>
      </c>
      <c r="G89" s="11">
        <v>600</v>
      </c>
      <c r="H89" s="11">
        <v>600</v>
      </c>
      <c r="I89" s="12">
        <v>600</v>
      </c>
      <c r="J89" s="13">
        <v>600</v>
      </c>
    </row>
    <row r="90" spans="1:10" x14ac:dyDescent="0.25">
      <c r="B90" s="30">
        <f>B89+1</f>
        <v>72</v>
      </c>
      <c r="C90" s="15" t="s">
        <v>188</v>
      </c>
      <c r="D90" s="31"/>
      <c r="E90" s="16"/>
      <c r="F90" s="136">
        <v>2400</v>
      </c>
      <c r="G90" s="16">
        <v>2400</v>
      </c>
      <c r="H90" s="16">
        <v>2400</v>
      </c>
      <c r="I90" s="17">
        <v>2500</v>
      </c>
      <c r="J90" s="18">
        <v>2500</v>
      </c>
    </row>
    <row r="91" spans="1:10" x14ac:dyDescent="0.25">
      <c r="B91" s="32">
        <f>B90+1</f>
        <v>73</v>
      </c>
      <c r="C91" s="10" t="s">
        <v>44</v>
      </c>
      <c r="E91" s="11"/>
      <c r="F91" s="136">
        <v>22000</v>
      </c>
      <c r="G91" s="11">
        <f>22000+3000</f>
        <v>25000</v>
      </c>
      <c r="H91" s="11">
        <v>25000</v>
      </c>
      <c r="I91" s="12">
        <f>25000+5000</f>
        <v>30000</v>
      </c>
      <c r="J91" s="13">
        <f>25000+5000</f>
        <v>30000</v>
      </c>
    </row>
    <row r="92" spans="1:10" x14ac:dyDescent="0.25">
      <c r="B92" s="30">
        <f>B91+1</f>
        <v>74</v>
      </c>
      <c r="C92" s="15" t="s">
        <v>45</v>
      </c>
      <c r="D92" s="31"/>
      <c r="E92" s="16"/>
      <c r="F92" s="136">
        <v>5000</v>
      </c>
      <c r="G92" s="16">
        <v>5000</v>
      </c>
      <c r="H92" s="16">
        <v>5000</v>
      </c>
      <c r="I92" s="17">
        <v>5000</v>
      </c>
      <c r="J92" s="18">
        <v>5000</v>
      </c>
    </row>
    <row r="93" spans="1:10" x14ac:dyDescent="0.25">
      <c r="B93" s="32">
        <f>B92+1</f>
        <v>75</v>
      </c>
      <c r="C93" s="10" t="s">
        <v>46</v>
      </c>
      <c r="D93" s="11"/>
      <c r="E93" s="11"/>
      <c r="F93" s="136">
        <v>2000</v>
      </c>
      <c r="G93" s="11">
        <v>2000</v>
      </c>
      <c r="H93" s="11">
        <v>2000</v>
      </c>
      <c r="I93" s="12">
        <v>2000</v>
      </c>
      <c r="J93" s="13">
        <v>2000</v>
      </c>
    </row>
    <row r="94" spans="1:10" s="1" customFormat="1" x14ac:dyDescent="0.25">
      <c r="A94" s="1">
        <v>391444808</v>
      </c>
      <c r="B94" s="14">
        <f>1+B93</f>
        <v>76</v>
      </c>
      <c r="C94" s="15" t="s">
        <v>47</v>
      </c>
      <c r="D94" s="16">
        <f>14500+5500</f>
        <v>20000</v>
      </c>
      <c r="E94" s="16">
        <f>911/2</f>
        <v>455.5</v>
      </c>
      <c r="F94" s="136">
        <f>2000+1600</f>
        <v>3600</v>
      </c>
      <c r="G94" s="16">
        <f>8000-1600+4500</f>
        <v>10900</v>
      </c>
      <c r="H94" s="16">
        <f>4000+1000</f>
        <v>5000</v>
      </c>
      <c r="I94" s="17"/>
      <c r="J94" s="18"/>
    </row>
    <row r="95" spans="1:10" s="61" customFormat="1" x14ac:dyDescent="0.25">
      <c r="A95" s="1"/>
      <c r="B95" s="9">
        <f>1+B94</f>
        <v>77</v>
      </c>
      <c r="C95" s="10" t="s">
        <v>48</v>
      </c>
      <c r="D95" s="11">
        <v>20000</v>
      </c>
      <c r="E95" s="11"/>
      <c r="F95" s="136">
        <v>5000</v>
      </c>
      <c r="G95" s="11">
        <f>5000+5000</f>
        <v>10000</v>
      </c>
      <c r="H95" s="11">
        <v>5000</v>
      </c>
      <c r="I95" s="12"/>
      <c r="J95" s="13"/>
    </row>
    <row r="96" spans="1:10" x14ac:dyDescent="0.25">
      <c r="B96" s="30">
        <f>1+B95</f>
        <v>78</v>
      </c>
      <c r="C96" s="15" t="s">
        <v>49</v>
      </c>
      <c r="D96" s="16"/>
      <c r="E96" s="16"/>
      <c r="F96" s="136">
        <v>2000</v>
      </c>
      <c r="G96" s="16">
        <v>2000</v>
      </c>
      <c r="H96" s="16">
        <v>2000</v>
      </c>
      <c r="I96" s="17">
        <v>2000</v>
      </c>
      <c r="J96" s="18">
        <v>2000</v>
      </c>
    </row>
    <row r="97" spans="1:10" x14ac:dyDescent="0.25">
      <c r="B97" s="32"/>
      <c r="C97" s="42" t="s">
        <v>50</v>
      </c>
      <c r="F97" s="136"/>
      <c r="G97" s="11"/>
      <c r="H97" s="11"/>
      <c r="I97" s="12"/>
      <c r="J97" s="13"/>
    </row>
    <row r="98" spans="1:10" x14ac:dyDescent="0.25">
      <c r="B98" s="30">
        <f>1+B96</f>
        <v>79</v>
      </c>
      <c r="C98" s="62" t="s">
        <v>51</v>
      </c>
      <c r="D98" s="31"/>
      <c r="E98" s="31"/>
      <c r="F98" s="136"/>
      <c r="G98" s="16"/>
      <c r="H98" s="16"/>
      <c r="I98" s="17">
        <v>650</v>
      </c>
      <c r="J98" s="18"/>
    </row>
    <row r="99" spans="1:10" x14ac:dyDescent="0.25">
      <c r="B99" s="67">
        <f>1+B98</f>
        <v>80</v>
      </c>
      <c r="C99" s="50" t="s">
        <v>52</v>
      </c>
      <c r="D99" s="69"/>
      <c r="E99" s="51"/>
      <c r="F99" s="136">
        <v>600</v>
      </c>
      <c r="G99" s="51"/>
      <c r="H99" s="51"/>
      <c r="I99" s="52">
        <v>650</v>
      </c>
      <c r="J99" s="53"/>
    </row>
    <row r="100" spans="1:10" x14ac:dyDescent="0.25">
      <c r="B100" s="63"/>
      <c r="C100" s="64" t="s">
        <v>53</v>
      </c>
      <c r="D100" s="65">
        <f>SUM(D89:D99)</f>
        <v>40000</v>
      </c>
      <c r="E100" s="65"/>
      <c r="F100" s="136">
        <f>SUM(F89:F99)</f>
        <v>43700</v>
      </c>
      <c r="G100" s="41">
        <f>SUM(G89:G99)</f>
        <v>57900</v>
      </c>
      <c r="H100" s="41">
        <f>SUM(H89:H99)</f>
        <v>47000</v>
      </c>
      <c r="I100" s="41">
        <f>SUM(I89:I99)</f>
        <v>43400</v>
      </c>
      <c r="J100" s="29">
        <f>SUM(J88:J99)</f>
        <v>42100</v>
      </c>
    </row>
    <row r="101" spans="1:10" x14ac:dyDescent="0.25">
      <c r="B101" s="67"/>
      <c r="C101" s="68" t="s">
        <v>54</v>
      </c>
      <c r="D101" s="69"/>
      <c r="E101" s="69"/>
      <c r="F101" s="136"/>
      <c r="G101" s="51"/>
      <c r="H101" s="51"/>
      <c r="I101" s="51"/>
      <c r="J101" s="98"/>
    </row>
    <row r="102" spans="1:10" x14ac:dyDescent="0.25">
      <c r="B102" s="30">
        <f>1+B99</f>
        <v>81</v>
      </c>
      <c r="C102" s="15" t="s">
        <v>55</v>
      </c>
      <c r="D102" s="31"/>
      <c r="E102" s="16"/>
      <c r="F102" s="136">
        <v>11000</v>
      </c>
      <c r="G102" s="16">
        <v>11000</v>
      </c>
      <c r="H102" s="16">
        <v>7500</v>
      </c>
      <c r="I102" s="17">
        <v>10000</v>
      </c>
      <c r="J102" s="18">
        <v>10000</v>
      </c>
    </row>
    <row r="103" spans="1:10" x14ac:dyDescent="0.25">
      <c r="B103" s="32">
        <f>B102+1</f>
        <v>82</v>
      </c>
      <c r="C103" s="10" t="s">
        <v>56</v>
      </c>
      <c r="E103" s="11"/>
      <c r="F103" s="136">
        <v>33000</v>
      </c>
      <c r="G103" s="11">
        <f>33000+2000</f>
        <v>35000</v>
      </c>
      <c r="H103" s="11">
        <f>33000+2000</f>
        <v>35000</v>
      </c>
      <c r="I103" s="12">
        <f>33000+2000</f>
        <v>35000</v>
      </c>
      <c r="J103" s="13">
        <f>33000+2000</f>
        <v>35000</v>
      </c>
    </row>
    <row r="104" spans="1:10" s="1" customFormat="1" x14ac:dyDescent="0.25">
      <c r="A104" s="1">
        <v>391444808</v>
      </c>
      <c r="B104" s="9">
        <f>1+B103</f>
        <v>83</v>
      </c>
      <c r="C104" s="10" t="s">
        <v>47</v>
      </c>
      <c r="D104" s="11">
        <f>14500+5500</f>
        <v>20000</v>
      </c>
      <c r="E104" s="11">
        <v>455</v>
      </c>
      <c r="F104" s="136">
        <f>2000+1600</f>
        <v>3600</v>
      </c>
      <c r="G104" s="11">
        <f>8000-1600+4500</f>
        <v>10900</v>
      </c>
      <c r="H104" s="11">
        <f>4000+1000</f>
        <v>5000</v>
      </c>
      <c r="I104" s="12"/>
      <c r="J104" s="13"/>
    </row>
    <row r="105" spans="1:10" s="1" customFormat="1" ht="30" x14ac:dyDescent="0.25">
      <c r="B105" s="14">
        <f>1+B104</f>
        <v>84</v>
      </c>
      <c r="C105" s="15" t="s">
        <v>57</v>
      </c>
      <c r="D105" s="16">
        <v>80000</v>
      </c>
      <c r="E105" s="16"/>
      <c r="F105" s="136">
        <v>5000</v>
      </c>
      <c r="G105" s="16">
        <v>10000</v>
      </c>
      <c r="H105" s="16">
        <v>20000</v>
      </c>
      <c r="I105" s="17">
        <v>20000</v>
      </c>
      <c r="J105" s="18">
        <f>25000-15000</f>
        <v>10000</v>
      </c>
    </row>
    <row r="106" spans="1:10" s="1" customFormat="1" x14ac:dyDescent="0.25">
      <c r="B106" s="9">
        <f>1+B105</f>
        <v>85</v>
      </c>
      <c r="C106" s="10" t="s">
        <v>46</v>
      </c>
      <c r="D106" s="11"/>
      <c r="E106" s="11"/>
      <c r="F106" s="136">
        <v>5000</v>
      </c>
      <c r="G106" s="11">
        <v>5000</v>
      </c>
      <c r="H106" s="11">
        <v>5000</v>
      </c>
      <c r="I106" s="12">
        <v>5000</v>
      </c>
      <c r="J106" s="13">
        <v>5000</v>
      </c>
    </row>
    <row r="107" spans="1:10" x14ac:dyDescent="0.25">
      <c r="B107" s="30">
        <f>B106+1</f>
        <v>86</v>
      </c>
      <c r="C107" s="15" t="s">
        <v>49</v>
      </c>
      <c r="D107" s="16"/>
      <c r="E107" s="16"/>
      <c r="F107" s="136">
        <v>2500</v>
      </c>
      <c r="G107" s="16">
        <v>2500</v>
      </c>
      <c r="H107" s="16">
        <v>2500</v>
      </c>
      <c r="I107" s="17">
        <v>2500</v>
      </c>
      <c r="J107" s="18">
        <v>2500</v>
      </c>
    </row>
    <row r="108" spans="1:10" x14ac:dyDescent="0.25">
      <c r="B108" s="32"/>
      <c r="C108" s="42" t="s">
        <v>58</v>
      </c>
      <c r="F108" s="136"/>
      <c r="G108" s="11"/>
      <c r="H108" s="11"/>
      <c r="I108" s="12"/>
      <c r="J108" s="13"/>
    </row>
    <row r="109" spans="1:10" x14ac:dyDescent="0.25">
      <c r="B109" s="30">
        <f>1+B107</f>
        <v>87</v>
      </c>
      <c r="C109" s="15" t="s">
        <v>59</v>
      </c>
      <c r="D109" s="31"/>
      <c r="E109" s="16"/>
      <c r="F109" s="136"/>
      <c r="G109" s="16"/>
      <c r="H109" s="16">
        <v>1500</v>
      </c>
      <c r="I109" s="17">
        <v>1300</v>
      </c>
      <c r="J109" s="18">
        <f>1300+2200</f>
        <v>3500</v>
      </c>
    </row>
    <row r="110" spans="1:10" x14ac:dyDescent="0.25">
      <c r="B110" s="63"/>
      <c r="C110" s="64" t="s">
        <v>60</v>
      </c>
      <c r="D110" s="65">
        <f>SUM(D102:D109)</f>
        <v>100000</v>
      </c>
      <c r="E110" s="65"/>
      <c r="F110" s="136">
        <f>SUM(F102:F109)</f>
        <v>60100</v>
      </c>
      <c r="G110" s="41">
        <f>SUM(G102:G109)</f>
        <v>74400</v>
      </c>
      <c r="H110" s="41">
        <f>SUM(H102:H109)</f>
        <v>76500</v>
      </c>
      <c r="I110" s="41">
        <f>SUM(I102:I109)</f>
        <v>73800</v>
      </c>
      <c r="J110" s="29">
        <f>SUM(J101:J109)</f>
        <v>66000</v>
      </c>
    </row>
    <row r="111" spans="1:10" x14ac:dyDescent="0.25">
      <c r="B111" s="30"/>
      <c r="C111" s="7" t="s">
        <v>61</v>
      </c>
      <c r="D111" s="31"/>
      <c r="E111" s="31"/>
      <c r="F111" s="136"/>
      <c r="G111" s="16"/>
      <c r="H111" s="16"/>
      <c r="I111" s="16"/>
      <c r="J111" s="22"/>
    </row>
    <row r="112" spans="1:10" x14ac:dyDescent="0.25">
      <c r="B112" s="32">
        <f>1+B109</f>
        <v>88</v>
      </c>
      <c r="C112" s="10" t="s">
        <v>62</v>
      </c>
      <c r="E112" s="11"/>
      <c r="F112" s="136">
        <v>2400</v>
      </c>
      <c r="G112" s="11">
        <f>2500-500</f>
        <v>2000</v>
      </c>
      <c r="H112" s="11">
        <f>2600-600</f>
        <v>2000</v>
      </c>
      <c r="I112" s="12">
        <f>2700-1200</f>
        <v>1500</v>
      </c>
      <c r="J112" s="13">
        <f>2800-1300</f>
        <v>1500</v>
      </c>
    </row>
    <row r="113" spans="1:10" x14ac:dyDescent="0.25">
      <c r="B113" s="30">
        <f>B112+1</f>
        <v>89</v>
      </c>
      <c r="C113" s="15" t="s">
        <v>63</v>
      </c>
      <c r="D113" s="31"/>
      <c r="E113" s="16"/>
      <c r="F113" s="136">
        <v>2200</v>
      </c>
      <c r="G113" s="16">
        <f>2400-200</f>
        <v>2200</v>
      </c>
      <c r="H113" s="16">
        <f>2600-600</f>
        <v>2000</v>
      </c>
      <c r="I113" s="17">
        <f>2600-600</f>
        <v>2000</v>
      </c>
      <c r="J113" s="18">
        <f>2600-600</f>
        <v>2000</v>
      </c>
    </row>
    <row r="114" spans="1:10" x14ac:dyDescent="0.25">
      <c r="B114" s="26"/>
      <c r="C114" s="40" t="s">
        <v>64</v>
      </c>
      <c r="D114" s="66"/>
      <c r="E114" s="41"/>
      <c r="F114" s="136">
        <f>SUM(F112:F113)</f>
        <v>4600</v>
      </c>
      <c r="G114" s="41">
        <f>SUM(G112:G113)</f>
        <v>4200</v>
      </c>
      <c r="H114" s="41">
        <f>SUM(H112:H113)</f>
        <v>4000</v>
      </c>
      <c r="I114" s="41">
        <f>SUM(I112:I113)</f>
        <v>3500</v>
      </c>
      <c r="J114" s="29">
        <f>SUM(J112:J113)</f>
        <v>3500</v>
      </c>
    </row>
    <row r="115" spans="1:10" x14ac:dyDescent="0.25">
      <c r="B115" s="26"/>
      <c r="C115" s="40" t="s">
        <v>65</v>
      </c>
      <c r="D115" s="66">
        <f>+D114+D110+D100</f>
        <v>140000</v>
      </c>
      <c r="E115" s="66"/>
      <c r="F115" s="136">
        <f>+F114+F110+F100</f>
        <v>108400</v>
      </c>
      <c r="G115" s="41">
        <f>+G114+G110+G100</f>
        <v>136500</v>
      </c>
      <c r="H115" s="41">
        <f>+H114+H110+H100</f>
        <v>127500</v>
      </c>
      <c r="I115" s="41">
        <f>+I114+I110+I100</f>
        <v>120700</v>
      </c>
      <c r="J115" s="29">
        <f>+J114+J110+J100</f>
        <v>111600</v>
      </c>
    </row>
    <row r="116" spans="1:10" x14ac:dyDescent="0.25">
      <c r="B116" s="30"/>
      <c r="C116" s="7" t="s">
        <v>66</v>
      </c>
      <c r="D116" s="31"/>
      <c r="E116" s="31"/>
      <c r="F116" s="136"/>
      <c r="G116" s="16"/>
      <c r="H116" s="16"/>
      <c r="I116" s="16"/>
      <c r="J116" s="22"/>
    </row>
    <row r="117" spans="1:10" x14ac:dyDescent="0.25">
      <c r="B117" s="67"/>
      <c r="C117" s="68" t="s">
        <v>67</v>
      </c>
      <c r="D117" s="69"/>
      <c r="E117" s="69"/>
      <c r="F117" s="136"/>
      <c r="G117" s="51"/>
      <c r="H117" s="51"/>
      <c r="I117" s="12"/>
      <c r="J117" s="13"/>
    </row>
    <row r="118" spans="1:10" x14ac:dyDescent="0.25">
      <c r="B118" s="30">
        <f>1+B113</f>
        <v>90</v>
      </c>
      <c r="C118" s="15" t="s">
        <v>68</v>
      </c>
      <c r="D118" s="16"/>
      <c r="E118" s="16"/>
      <c r="F118" s="136">
        <v>5000</v>
      </c>
      <c r="G118" s="16">
        <v>5000</v>
      </c>
      <c r="H118" s="16">
        <v>5000</v>
      </c>
      <c r="I118" s="17">
        <v>5000</v>
      </c>
      <c r="J118" s="18">
        <v>5000</v>
      </c>
    </row>
    <row r="119" spans="1:10" x14ac:dyDescent="0.25">
      <c r="A119" s="1">
        <v>391366019</v>
      </c>
      <c r="B119" s="67">
        <f>B118+1</f>
        <v>91</v>
      </c>
      <c r="C119" s="50" t="s">
        <v>189</v>
      </c>
      <c r="D119" s="51">
        <v>25000</v>
      </c>
      <c r="E119" s="51">
        <v>611</v>
      </c>
      <c r="F119" s="136">
        <f>24000-24000</f>
        <v>0</v>
      </c>
      <c r="G119" s="51">
        <v>24000</v>
      </c>
      <c r="H119" s="51"/>
      <c r="I119" s="12"/>
      <c r="J119" s="13"/>
    </row>
    <row r="120" spans="1:10" x14ac:dyDescent="0.25">
      <c r="B120" s="30">
        <f>B119+1</f>
        <v>92</v>
      </c>
      <c r="C120" s="15" t="s">
        <v>69</v>
      </c>
      <c r="D120" s="16"/>
      <c r="E120" s="16"/>
      <c r="F120" s="136">
        <v>1500</v>
      </c>
      <c r="G120" s="16">
        <v>1500</v>
      </c>
      <c r="H120" s="16">
        <v>1500</v>
      </c>
      <c r="I120" s="17">
        <v>1500</v>
      </c>
      <c r="J120" s="18">
        <v>1500</v>
      </c>
    </row>
    <row r="121" spans="1:10" x14ac:dyDescent="0.25">
      <c r="B121" s="32">
        <f>1+B120</f>
        <v>93</v>
      </c>
      <c r="C121" s="10" t="s">
        <v>70</v>
      </c>
      <c r="D121" s="11"/>
      <c r="E121" s="11"/>
      <c r="F121" s="136">
        <v>2100</v>
      </c>
      <c r="G121" s="11">
        <v>2100</v>
      </c>
      <c r="H121" s="11">
        <v>2100</v>
      </c>
      <c r="I121" s="12">
        <v>2100</v>
      </c>
      <c r="J121" s="13">
        <v>2100</v>
      </c>
    </row>
    <row r="122" spans="1:10" x14ac:dyDescent="0.25">
      <c r="B122" s="30">
        <f>B121+1</f>
        <v>94</v>
      </c>
      <c r="C122" s="15" t="s">
        <v>71</v>
      </c>
      <c r="D122" s="16"/>
      <c r="E122" s="16"/>
      <c r="F122" s="136">
        <v>10000</v>
      </c>
      <c r="G122" s="16">
        <v>10000</v>
      </c>
      <c r="H122" s="16">
        <v>10000</v>
      </c>
      <c r="I122" s="17">
        <v>10000</v>
      </c>
      <c r="J122" s="18">
        <v>10000</v>
      </c>
    </row>
    <row r="123" spans="1:10" ht="30" x14ac:dyDescent="0.25">
      <c r="B123" s="32">
        <f>1+B122</f>
        <v>95</v>
      </c>
      <c r="C123" s="10" t="s">
        <v>190</v>
      </c>
      <c r="D123" s="11">
        <v>40000</v>
      </c>
      <c r="E123" s="11"/>
      <c r="F123" s="136">
        <v>10000</v>
      </c>
      <c r="G123" s="11">
        <v>10000</v>
      </c>
      <c r="H123" s="11">
        <v>10000</v>
      </c>
      <c r="I123" s="12">
        <v>10000</v>
      </c>
      <c r="J123" s="13"/>
    </row>
    <row r="124" spans="1:10" x14ac:dyDescent="0.25">
      <c r="B124" s="30"/>
      <c r="C124" s="46" t="s">
        <v>72</v>
      </c>
      <c r="D124" s="16"/>
      <c r="E124" s="16"/>
      <c r="F124" s="136"/>
      <c r="G124" s="16"/>
      <c r="H124" s="16"/>
      <c r="I124" s="17"/>
      <c r="J124" s="18"/>
    </row>
    <row r="125" spans="1:10" x14ac:dyDescent="0.25">
      <c r="B125" s="32">
        <f>1+B123</f>
        <v>96</v>
      </c>
      <c r="C125" s="10" t="s">
        <v>73</v>
      </c>
      <c r="D125" s="11"/>
      <c r="E125" s="11"/>
      <c r="F125" s="136">
        <v>2500</v>
      </c>
      <c r="G125" s="11">
        <f>7000+2500</f>
        <v>9500</v>
      </c>
      <c r="H125" s="11">
        <f>2500-250</f>
        <v>2250</v>
      </c>
      <c r="I125" s="12">
        <f>2500-250</f>
        <v>2250</v>
      </c>
      <c r="J125" s="13">
        <f>2500-250</f>
        <v>2250</v>
      </c>
    </row>
    <row r="126" spans="1:10" x14ac:dyDescent="0.25">
      <c r="A126" s="1">
        <v>391366018</v>
      </c>
      <c r="B126" s="30">
        <f>B125+1</f>
        <v>97</v>
      </c>
      <c r="C126" s="15" t="s">
        <v>191</v>
      </c>
      <c r="D126" s="16">
        <v>50000</v>
      </c>
      <c r="E126" s="16">
        <f>18937+2000-2100</f>
        <v>18837</v>
      </c>
      <c r="F126" s="136">
        <f>22200-5000</f>
        <v>17200</v>
      </c>
      <c r="G126" s="16">
        <f>7000-2000+5000</f>
        <v>10000</v>
      </c>
      <c r="H126" s="16"/>
      <c r="I126" s="17"/>
      <c r="J126" s="18"/>
    </row>
    <row r="127" spans="1:10" x14ac:dyDescent="0.25">
      <c r="A127" s="1">
        <v>391366020</v>
      </c>
      <c r="B127" s="32">
        <f>B126+1</f>
        <v>98</v>
      </c>
      <c r="C127" s="10" t="s">
        <v>192</v>
      </c>
      <c r="D127" s="11">
        <v>5000</v>
      </c>
      <c r="E127" s="11"/>
      <c r="F127" s="136">
        <f>5000-5000</f>
        <v>0</v>
      </c>
      <c r="G127" s="11">
        <v>5000</v>
      </c>
      <c r="H127" s="11"/>
      <c r="I127" s="12"/>
      <c r="J127" s="13"/>
    </row>
    <row r="128" spans="1:10" x14ac:dyDescent="0.25">
      <c r="B128" s="30">
        <f>B127+1</f>
        <v>99</v>
      </c>
      <c r="C128" s="15" t="s">
        <v>74</v>
      </c>
      <c r="D128" s="16"/>
      <c r="E128" s="16"/>
      <c r="F128" s="136">
        <f>15300-7000</f>
        <v>8300</v>
      </c>
      <c r="G128" s="16">
        <f>15300</f>
        <v>15300</v>
      </c>
      <c r="H128" s="16">
        <v>15300</v>
      </c>
      <c r="I128" s="16">
        <v>15300</v>
      </c>
      <c r="J128" s="22">
        <v>15300</v>
      </c>
    </row>
    <row r="129" spans="1:10" x14ac:dyDescent="0.25">
      <c r="B129" s="32">
        <f>B128+1</f>
        <v>100</v>
      </c>
      <c r="C129" s="10" t="s">
        <v>75</v>
      </c>
      <c r="D129" s="11"/>
      <c r="E129" s="11"/>
      <c r="F129" s="136">
        <v>3500</v>
      </c>
      <c r="G129" s="11">
        <v>3500</v>
      </c>
      <c r="H129" s="11">
        <v>3500</v>
      </c>
      <c r="I129" s="12">
        <v>3500</v>
      </c>
      <c r="J129" s="13">
        <v>3500</v>
      </c>
    </row>
    <row r="130" spans="1:10" x14ac:dyDescent="0.25">
      <c r="B130" s="30"/>
      <c r="C130" s="46" t="s">
        <v>76</v>
      </c>
      <c r="D130" s="16"/>
      <c r="E130" s="16"/>
      <c r="F130" s="136"/>
      <c r="G130" s="16"/>
      <c r="H130" s="16"/>
      <c r="I130" s="17"/>
      <c r="J130" s="18"/>
    </row>
    <row r="131" spans="1:10" x14ac:dyDescent="0.25">
      <c r="B131" s="32">
        <f>B129+1</f>
        <v>101</v>
      </c>
      <c r="C131" s="10" t="s">
        <v>76</v>
      </c>
      <c r="D131" s="11"/>
      <c r="E131" s="11"/>
      <c r="F131" s="136">
        <v>6000</v>
      </c>
      <c r="G131" s="11">
        <v>6000</v>
      </c>
      <c r="H131" s="11">
        <v>6000</v>
      </c>
      <c r="I131" s="12">
        <v>6000</v>
      </c>
      <c r="J131" s="13">
        <v>6000</v>
      </c>
    </row>
    <row r="132" spans="1:10" x14ac:dyDescent="0.25">
      <c r="B132" s="44"/>
      <c r="C132" s="46" t="s">
        <v>77</v>
      </c>
      <c r="D132" s="16"/>
      <c r="E132" s="16"/>
      <c r="F132" s="136"/>
      <c r="G132" s="16"/>
      <c r="H132" s="16"/>
      <c r="I132" s="17"/>
      <c r="J132" s="18"/>
    </row>
    <row r="133" spans="1:10" s="1" customFormat="1" x14ac:dyDescent="0.25">
      <c r="A133" s="1">
        <v>3866011</v>
      </c>
      <c r="B133" s="9">
        <f>1+B131</f>
        <v>102</v>
      </c>
      <c r="C133" s="114" t="s">
        <v>78</v>
      </c>
      <c r="D133" s="11">
        <v>11000</v>
      </c>
      <c r="E133" s="11"/>
      <c r="F133" s="136">
        <f>11000-8000</f>
        <v>3000</v>
      </c>
      <c r="G133" s="11">
        <v>8000</v>
      </c>
      <c r="H133" s="11"/>
      <c r="I133" s="12"/>
      <c r="J133" s="13"/>
    </row>
    <row r="134" spans="1:10" x14ac:dyDescent="0.25">
      <c r="B134" s="44">
        <f t="shared" ref="B134:B139" si="4">1+B133</f>
        <v>103</v>
      </c>
      <c r="C134" s="15" t="s">
        <v>79</v>
      </c>
      <c r="D134" s="16"/>
      <c r="E134" s="16"/>
      <c r="F134" s="136">
        <v>6100</v>
      </c>
      <c r="G134" s="16">
        <v>6100</v>
      </c>
      <c r="H134" s="16">
        <v>6100</v>
      </c>
      <c r="I134" s="17">
        <v>6100</v>
      </c>
      <c r="J134" s="18">
        <v>6100</v>
      </c>
    </row>
    <row r="135" spans="1:10" s="1" customFormat="1" x14ac:dyDescent="0.25">
      <c r="B135" s="9">
        <f t="shared" si="4"/>
        <v>104</v>
      </c>
      <c r="C135" s="10" t="s">
        <v>80</v>
      </c>
      <c r="D135" s="11">
        <v>15000</v>
      </c>
      <c r="E135" s="11"/>
      <c r="F135" s="136">
        <f>15000-12000</f>
        <v>3000</v>
      </c>
      <c r="G135" s="11">
        <v>12000</v>
      </c>
      <c r="H135" s="11"/>
      <c r="I135" s="12"/>
      <c r="J135" s="13"/>
    </row>
    <row r="136" spans="1:10" s="1" customFormat="1" x14ac:dyDescent="0.25">
      <c r="B136" s="14">
        <f t="shared" si="4"/>
        <v>105</v>
      </c>
      <c r="C136" s="15" t="s">
        <v>81</v>
      </c>
      <c r="D136" s="16"/>
      <c r="E136" s="16"/>
      <c r="F136" s="136">
        <v>1000</v>
      </c>
      <c r="G136" s="16">
        <v>1000</v>
      </c>
      <c r="H136" s="16">
        <v>1000</v>
      </c>
      <c r="I136" s="17">
        <v>1000</v>
      </c>
      <c r="J136" s="18">
        <v>1000</v>
      </c>
    </row>
    <row r="137" spans="1:10" s="1" customFormat="1" x14ac:dyDescent="0.25">
      <c r="B137" s="9">
        <f t="shared" si="4"/>
        <v>106</v>
      </c>
      <c r="C137" s="10" t="s">
        <v>82</v>
      </c>
      <c r="D137" s="11"/>
      <c r="E137" s="11"/>
      <c r="F137" s="136">
        <v>10000</v>
      </c>
      <c r="G137" s="11">
        <v>10000</v>
      </c>
      <c r="H137" s="11">
        <v>10000</v>
      </c>
      <c r="I137" s="12">
        <v>10000</v>
      </c>
      <c r="J137" s="13">
        <v>10000</v>
      </c>
    </row>
    <row r="138" spans="1:10" s="1" customFormat="1" x14ac:dyDescent="0.25">
      <c r="B138" s="14">
        <f t="shared" si="4"/>
        <v>107</v>
      </c>
      <c r="C138" s="15" t="s">
        <v>83</v>
      </c>
      <c r="D138" s="16"/>
      <c r="E138" s="16"/>
      <c r="F138" s="136">
        <v>4000</v>
      </c>
      <c r="G138" s="16">
        <f>2000-1500</f>
        <v>500</v>
      </c>
      <c r="H138" s="16"/>
      <c r="I138" s="17"/>
      <c r="J138" s="18"/>
    </row>
    <row r="139" spans="1:10" x14ac:dyDescent="0.25">
      <c r="B139" s="45">
        <f t="shared" si="4"/>
        <v>108</v>
      </c>
      <c r="C139" s="10" t="s">
        <v>84</v>
      </c>
      <c r="D139" s="11"/>
      <c r="E139" s="11"/>
      <c r="F139" s="136">
        <v>700</v>
      </c>
      <c r="G139" s="11">
        <v>700</v>
      </c>
      <c r="H139" s="11">
        <v>700</v>
      </c>
      <c r="I139" s="12">
        <v>700</v>
      </c>
      <c r="J139" s="13">
        <v>700</v>
      </c>
    </row>
    <row r="140" spans="1:10" x14ac:dyDescent="0.25">
      <c r="B140" s="30"/>
      <c r="C140" s="46" t="s">
        <v>85</v>
      </c>
      <c r="D140" s="16"/>
      <c r="E140" s="16"/>
      <c r="F140" s="136"/>
      <c r="G140" s="16"/>
      <c r="H140" s="16"/>
      <c r="I140" s="17"/>
      <c r="J140" s="18"/>
    </row>
    <row r="141" spans="1:10" s="1" customFormat="1" x14ac:dyDescent="0.25">
      <c r="B141" s="9">
        <f>1+B139</f>
        <v>109</v>
      </c>
      <c r="C141" s="114" t="s">
        <v>86</v>
      </c>
      <c r="D141" s="11">
        <v>29000</v>
      </c>
      <c r="E141" s="11"/>
      <c r="F141" s="136">
        <f>4000+4000</f>
        <v>8000</v>
      </c>
      <c r="G141" s="11">
        <f>4000+8000+9000</f>
        <v>21000</v>
      </c>
      <c r="H141" s="11"/>
      <c r="I141" s="12"/>
      <c r="J141" s="13"/>
    </row>
    <row r="142" spans="1:10" x14ac:dyDescent="0.25">
      <c r="B142" s="30">
        <f>1+B141</f>
        <v>110</v>
      </c>
      <c r="C142" s="15" t="s">
        <v>87</v>
      </c>
      <c r="D142" s="16"/>
      <c r="E142" s="16"/>
      <c r="F142" s="136">
        <v>6000</v>
      </c>
      <c r="G142" s="16">
        <v>6000</v>
      </c>
      <c r="H142" s="16">
        <v>6000</v>
      </c>
      <c r="I142" s="17">
        <v>6000</v>
      </c>
      <c r="J142" s="18">
        <v>6000</v>
      </c>
    </row>
    <row r="143" spans="1:10" x14ac:dyDescent="0.25">
      <c r="B143" s="32"/>
      <c r="C143" s="42" t="s">
        <v>88</v>
      </c>
      <c r="D143" s="11"/>
      <c r="E143" s="11"/>
      <c r="F143" s="136"/>
      <c r="G143" s="11"/>
      <c r="H143" s="11"/>
      <c r="I143" s="12"/>
      <c r="J143" s="13"/>
    </row>
    <row r="144" spans="1:10" s="1" customFormat="1" x14ac:dyDescent="0.25">
      <c r="B144" s="14">
        <f>1+B142</f>
        <v>111</v>
      </c>
      <c r="C144" s="70" t="s">
        <v>89</v>
      </c>
      <c r="D144" s="16">
        <v>3200</v>
      </c>
      <c r="E144" s="16"/>
      <c r="F144" s="136"/>
      <c r="G144" s="16">
        <v>3200</v>
      </c>
      <c r="H144" s="16"/>
      <c r="I144" s="17"/>
      <c r="J144" s="18"/>
    </row>
    <row r="145" spans="1:10" s="1" customFormat="1" x14ac:dyDescent="0.25">
      <c r="B145" s="9">
        <f>1+B144</f>
        <v>112</v>
      </c>
      <c r="C145" s="1" t="s">
        <v>140</v>
      </c>
      <c r="D145" s="11">
        <v>5700</v>
      </c>
      <c r="E145" s="11"/>
      <c r="F145" s="136"/>
      <c r="G145" s="11"/>
      <c r="H145" s="11">
        <v>5700</v>
      </c>
      <c r="I145" s="12"/>
      <c r="J145" s="13"/>
    </row>
    <row r="146" spans="1:10" x14ac:dyDescent="0.25">
      <c r="B146" s="30">
        <f>1+B145</f>
        <v>113</v>
      </c>
      <c r="C146" s="15" t="s">
        <v>90</v>
      </c>
      <c r="D146" s="16"/>
      <c r="E146" s="16"/>
      <c r="F146" s="136">
        <v>8000</v>
      </c>
      <c r="G146" s="16">
        <v>8000</v>
      </c>
      <c r="H146" s="16">
        <v>8000</v>
      </c>
      <c r="I146" s="17">
        <v>8000</v>
      </c>
      <c r="J146" s="18">
        <v>8000</v>
      </c>
    </row>
    <row r="147" spans="1:10" ht="30" x14ac:dyDescent="0.25">
      <c r="B147" s="32">
        <f>1+B146</f>
        <v>114</v>
      </c>
      <c r="C147" s="10" t="s">
        <v>158</v>
      </c>
      <c r="D147" s="11">
        <v>16264</v>
      </c>
      <c r="E147" s="11"/>
      <c r="F147" s="136"/>
      <c r="G147" s="11">
        <v>16264</v>
      </c>
      <c r="H147" s="11"/>
      <c r="I147" s="12"/>
      <c r="J147" s="13"/>
    </row>
    <row r="148" spans="1:10" x14ac:dyDescent="0.25">
      <c r="B148" s="47"/>
      <c r="C148" s="40" t="s">
        <v>91</v>
      </c>
      <c r="D148" s="41">
        <f>SUM(D116:D146)</f>
        <v>183900</v>
      </c>
      <c r="E148" s="41"/>
      <c r="F148" s="136">
        <f>SUM(F118:F146)</f>
        <v>115900</v>
      </c>
      <c r="G148" s="41">
        <f>SUM(G118:G147)</f>
        <v>194664</v>
      </c>
      <c r="H148" s="41">
        <f>SUM(H118:H146)</f>
        <v>93150</v>
      </c>
      <c r="I148" s="28">
        <f>SUM(I118:I146)</f>
        <v>87450</v>
      </c>
      <c r="J148" s="29">
        <f>SUM(J116:J146)</f>
        <v>77450</v>
      </c>
    </row>
    <row r="149" spans="1:10" x14ac:dyDescent="0.25">
      <c r="B149" s="67"/>
      <c r="C149" s="68" t="s">
        <v>92</v>
      </c>
      <c r="D149" s="69"/>
      <c r="E149" s="69"/>
      <c r="F149" s="136"/>
      <c r="G149" s="51"/>
      <c r="H149" s="51"/>
      <c r="I149" s="52"/>
      <c r="J149" s="53"/>
    </row>
    <row r="150" spans="1:10" s="1" customFormat="1" x14ac:dyDescent="0.25">
      <c r="B150" s="14">
        <f>1+B147</f>
        <v>115</v>
      </c>
      <c r="C150" s="117" t="s">
        <v>138</v>
      </c>
      <c r="D150" s="16"/>
      <c r="E150" s="16"/>
      <c r="F150" s="136"/>
      <c r="G150" s="16">
        <v>1800</v>
      </c>
      <c r="H150" s="16">
        <v>2800</v>
      </c>
      <c r="I150" s="17">
        <v>800</v>
      </c>
      <c r="J150" s="18">
        <v>800</v>
      </c>
    </row>
    <row r="151" spans="1:10" s="48" customFormat="1" x14ac:dyDescent="0.25">
      <c r="A151" s="48">
        <v>3844048</v>
      </c>
      <c r="B151" s="49">
        <f>1+B150</f>
        <v>116</v>
      </c>
      <c r="C151" s="50" t="s">
        <v>93</v>
      </c>
      <c r="D151" s="51">
        <v>3200</v>
      </c>
      <c r="E151" s="51"/>
      <c r="F151" s="136">
        <v>2000</v>
      </c>
      <c r="G151" s="51">
        <v>1200</v>
      </c>
      <c r="H151" s="51"/>
      <c r="I151" s="52"/>
      <c r="J151" s="53"/>
    </row>
    <row r="152" spans="1:10" s="109" customFormat="1" x14ac:dyDescent="0.25">
      <c r="A152" s="108"/>
      <c r="B152" s="30">
        <f>1+B151</f>
        <v>117</v>
      </c>
      <c r="C152" s="15" t="s">
        <v>94</v>
      </c>
      <c r="D152" s="16"/>
      <c r="E152" s="16"/>
      <c r="F152" s="136">
        <v>19100</v>
      </c>
      <c r="G152" s="16">
        <v>20100</v>
      </c>
      <c r="H152" s="16">
        <v>21100</v>
      </c>
      <c r="I152" s="17">
        <v>22100</v>
      </c>
      <c r="J152" s="18">
        <v>23100</v>
      </c>
    </row>
    <row r="153" spans="1:10" x14ac:dyDescent="0.25">
      <c r="B153" s="47"/>
      <c r="C153" s="40" t="s">
        <v>95</v>
      </c>
      <c r="D153" s="41">
        <f>SUM(D151:D152)</f>
        <v>3200</v>
      </c>
      <c r="E153" s="41"/>
      <c r="F153" s="136">
        <f>SUM(F151:F152)</f>
        <v>21100</v>
      </c>
      <c r="G153" s="41">
        <f>SUM(G150:G152)</f>
        <v>23100</v>
      </c>
      <c r="H153" s="41">
        <f>SUM(H150:H152)</f>
        <v>23900</v>
      </c>
      <c r="I153" s="41">
        <f>SUM(I150:I152)</f>
        <v>22900</v>
      </c>
      <c r="J153" s="29">
        <f>SUM(J150:J152)</f>
        <v>23900</v>
      </c>
    </row>
    <row r="154" spans="1:10" x14ac:dyDescent="0.25">
      <c r="B154" s="30"/>
      <c r="C154" s="7" t="s">
        <v>96</v>
      </c>
      <c r="D154" s="31"/>
      <c r="E154" s="31"/>
      <c r="F154" s="136"/>
      <c r="G154" s="16"/>
      <c r="H154" s="16"/>
      <c r="I154" s="17"/>
      <c r="J154" s="18"/>
    </row>
    <row r="155" spans="1:10" x14ac:dyDescent="0.25">
      <c r="B155" s="67">
        <f>1+B152</f>
        <v>118</v>
      </c>
      <c r="C155" s="50" t="s">
        <v>97</v>
      </c>
      <c r="D155" s="69"/>
      <c r="E155" s="51"/>
      <c r="F155" s="136">
        <v>1500</v>
      </c>
      <c r="G155" s="51">
        <f>1500+800</f>
        <v>2300</v>
      </c>
      <c r="H155" s="51">
        <v>1500</v>
      </c>
      <c r="I155" s="12">
        <f>+H155</f>
        <v>1500</v>
      </c>
      <c r="J155" s="13">
        <v>1500</v>
      </c>
    </row>
    <row r="156" spans="1:10" x14ac:dyDescent="0.25">
      <c r="B156" s="71"/>
      <c r="C156" s="40" t="s">
        <v>98</v>
      </c>
      <c r="D156" s="66"/>
      <c r="E156" s="41"/>
      <c r="F156" s="136">
        <f>SUM(F155:F155)</f>
        <v>1500</v>
      </c>
      <c r="G156" s="41">
        <f>SUM(G155:G155)</f>
        <v>2300</v>
      </c>
      <c r="H156" s="41">
        <f>SUM(H155:H155)</f>
        <v>1500</v>
      </c>
      <c r="I156" s="72">
        <f>SUM(I155:I155)</f>
        <v>1500</v>
      </c>
      <c r="J156" s="73">
        <f>SUM(J155:J155)</f>
        <v>1500</v>
      </c>
    </row>
    <row r="157" spans="1:10" x14ac:dyDescent="0.25">
      <c r="B157" s="30"/>
      <c r="C157" s="7" t="s">
        <v>99</v>
      </c>
      <c r="D157" s="31"/>
      <c r="E157" s="31"/>
      <c r="F157" s="136"/>
      <c r="G157" s="16"/>
      <c r="H157" s="16"/>
      <c r="I157" s="16"/>
      <c r="J157" s="22"/>
    </row>
    <row r="158" spans="1:10" s="20" customFormat="1" x14ac:dyDescent="0.25">
      <c r="A158" s="20">
        <v>391444821</v>
      </c>
      <c r="B158" s="49">
        <f>1+B155</f>
        <v>119</v>
      </c>
      <c r="C158" s="50" t="s">
        <v>100</v>
      </c>
      <c r="D158" s="11">
        <v>305000</v>
      </c>
      <c r="E158" s="51">
        <v>3039</v>
      </c>
      <c r="F158" s="136">
        <f>20000-5000</f>
        <v>15000</v>
      </c>
      <c r="G158" s="51">
        <v>20000</v>
      </c>
      <c r="H158" s="51">
        <v>20000</v>
      </c>
      <c r="I158" s="12">
        <v>20000</v>
      </c>
      <c r="J158" s="13">
        <f>5000+20000</f>
        <v>25000</v>
      </c>
    </row>
    <row r="159" spans="1:10" s="37" customFormat="1" x14ac:dyDescent="0.25">
      <c r="A159" s="20">
        <v>3844028</v>
      </c>
      <c r="B159" s="14">
        <f>1+B158</f>
        <v>120</v>
      </c>
      <c r="C159" s="15" t="s">
        <v>193</v>
      </c>
      <c r="D159" s="16">
        <v>30000</v>
      </c>
      <c r="E159" s="16"/>
      <c r="F159" s="136">
        <v>2000</v>
      </c>
      <c r="G159" s="16">
        <v>20000</v>
      </c>
      <c r="H159" s="16">
        <v>8000</v>
      </c>
      <c r="I159" s="17"/>
      <c r="J159" s="18"/>
    </row>
    <row r="160" spans="1:10" s="37" customFormat="1" x14ac:dyDescent="0.25">
      <c r="A160" s="20"/>
      <c r="B160" s="9">
        <f>B159+1</f>
        <v>121</v>
      </c>
      <c r="C160" s="10" t="s">
        <v>101</v>
      </c>
      <c r="D160" s="11">
        <v>7000</v>
      </c>
      <c r="E160" s="11"/>
      <c r="F160" s="136"/>
      <c r="G160" s="11">
        <v>2000</v>
      </c>
      <c r="H160" s="11">
        <v>2000</v>
      </c>
      <c r="I160" s="12">
        <v>3000</v>
      </c>
      <c r="J160" s="13"/>
    </row>
    <row r="161" spans="1:11" s="74" customFormat="1" ht="30" x14ac:dyDescent="0.25">
      <c r="A161" s="20"/>
      <c r="B161" s="14">
        <f>1+B160</f>
        <v>122</v>
      </c>
      <c r="C161" s="15" t="s">
        <v>194</v>
      </c>
      <c r="D161" s="16">
        <v>1100</v>
      </c>
      <c r="E161" s="16"/>
      <c r="F161" s="136"/>
      <c r="G161" s="16">
        <v>400</v>
      </c>
      <c r="H161" s="16">
        <v>700</v>
      </c>
      <c r="I161" s="17"/>
      <c r="J161" s="18"/>
    </row>
    <row r="162" spans="1:11" s="48" customFormat="1" x14ac:dyDescent="0.25">
      <c r="B162" s="49">
        <f>1+B161</f>
        <v>123</v>
      </c>
      <c r="C162" s="50" t="s">
        <v>102</v>
      </c>
      <c r="D162" s="51">
        <v>25000</v>
      </c>
      <c r="E162" s="51"/>
      <c r="F162" s="136"/>
      <c r="G162" s="51"/>
      <c r="H162" s="51">
        <v>3000</v>
      </c>
      <c r="I162" s="52">
        <v>18000</v>
      </c>
      <c r="J162" s="53">
        <v>4000</v>
      </c>
    </row>
    <row r="163" spans="1:11" s="48" customFormat="1" x14ac:dyDescent="0.25">
      <c r="B163" s="14">
        <f>1+B162</f>
        <v>124</v>
      </c>
      <c r="C163" s="15" t="s">
        <v>132</v>
      </c>
      <c r="D163" s="16">
        <v>37000</v>
      </c>
      <c r="E163" s="16"/>
      <c r="F163" s="136"/>
      <c r="G163" s="16"/>
      <c r="H163" s="16"/>
      <c r="I163" s="17"/>
      <c r="J163" s="18">
        <v>2000</v>
      </c>
    </row>
    <row r="164" spans="1:11" s="37" customFormat="1" x14ac:dyDescent="0.25">
      <c r="A164" s="20"/>
      <c r="B164" s="9">
        <f>1+B163</f>
        <v>125</v>
      </c>
      <c r="C164" s="10" t="s">
        <v>103</v>
      </c>
      <c r="D164" s="11"/>
      <c r="E164" s="11"/>
      <c r="F164" s="136"/>
      <c r="G164" s="11">
        <v>200</v>
      </c>
      <c r="H164" s="11">
        <v>600</v>
      </c>
      <c r="I164" s="12"/>
      <c r="J164" s="13"/>
    </row>
    <row r="165" spans="1:11" x14ac:dyDescent="0.25">
      <c r="B165" s="71"/>
      <c r="C165" s="40" t="s">
        <v>104</v>
      </c>
      <c r="D165" s="41">
        <f>SUM(D158:D164)</f>
        <v>405100</v>
      </c>
      <c r="E165" s="41"/>
      <c r="F165" s="136">
        <f>SUM(F158:F164)</f>
        <v>17000</v>
      </c>
      <c r="G165" s="41">
        <f>SUM(G158:G164)</f>
        <v>42600</v>
      </c>
      <c r="H165" s="41">
        <f>SUM(H158:H164)</f>
        <v>34300</v>
      </c>
      <c r="I165" s="72">
        <f>SUM(I158:I164)</f>
        <v>41000</v>
      </c>
      <c r="J165" s="73">
        <f>SUM(J158:J164)</f>
        <v>31000</v>
      </c>
    </row>
    <row r="166" spans="1:11" s="104" customFormat="1" x14ac:dyDescent="0.25">
      <c r="A166" s="58"/>
      <c r="B166" s="105"/>
      <c r="C166" s="102"/>
      <c r="D166" s="99"/>
      <c r="E166" s="99"/>
      <c r="F166" s="51"/>
      <c r="G166" s="51"/>
      <c r="H166" s="51"/>
      <c r="I166" s="51"/>
      <c r="J166" s="98"/>
    </row>
    <row r="167" spans="1:11" s="38" customFormat="1" x14ac:dyDescent="0.25">
      <c r="B167" s="122"/>
      <c r="C167" s="40" t="s">
        <v>156</v>
      </c>
      <c r="D167" s="101">
        <f>+D165+D156+D153+D148+D115+D87+D79</f>
        <v>4696636</v>
      </c>
      <c r="E167" s="101"/>
      <c r="F167" s="136">
        <f>+F166+F165+F156+F153+F148+F115+F87+F79</f>
        <v>808700</v>
      </c>
      <c r="G167" s="41">
        <f>+G166+G165+G156+G153+G148+G115+G87+G79</f>
        <v>1274544</v>
      </c>
      <c r="H167" s="41">
        <f>+H166+H165+H156+H153+H148+H115+H87+H79</f>
        <v>934400</v>
      </c>
      <c r="I167" s="41">
        <f>+I166+I165+I156+I153+I148+I115+I87+I79</f>
        <v>862950</v>
      </c>
      <c r="J167" s="29">
        <f>+J166+J165+J156+J153+J148+J115+J87+J79</f>
        <v>693150</v>
      </c>
    </row>
    <row r="168" spans="1:11" x14ac:dyDescent="0.25">
      <c r="B168" s="32"/>
      <c r="C168" s="33" t="s">
        <v>105</v>
      </c>
      <c r="F168" s="136"/>
      <c r="G168" s="11"/>
      <c r="H168" s="11"/>
      <c r="I168" s="1"/>
      <c r="J168" s="135"/>
    </row>
    <row r="169" spans="1:11" s="1" customFormat="1" x14ac:dyDescent="0.25">
      <c r="B169" s="14">
        <f>1+B164</f>
        <v>126</v>
      </c>
      <c r="C169" s="15" t="s">
        <v>106</v>
      </c>
      <c r="D169" s="16"/>
      <c r="E169" s="16"/>
      <c r="F169" s="136">
        <f>206110+11200+6700</f>
        <v>224010</v>
      </c>
      <c r="G169" s="16">
        <v>152690</v>
      </c>
      <c r="H169" s="16">
        <v>197200</v>
      </c>
      <c r="I169" s="17">
        <v>246000</v>
      </c>
      <c r="J169" s="18">
        <v>303600</v>
      </c>
    </row>
    <row r="170" spans="1:11" s="1" customFormat="1" x14ac:dyDescent="0.25">
      <c r="B170" s="9">
        <f>B169+1</f>
        <v>127</v>
      </c>
      <c r="C170" s="10" t="s">
        <v>107</v>
      </c>
      <c r="D170" s="11"/>
      <c r="E170" s="11"/>
      <c r="F170" s="136">
        <v>139000</v>
      </c>
      <c r="G170" s="11">
        <f>(ROUND((G167*12)/100,-3))</f>
        <v>153000</v>
      </c>
      <c r="H170" s="11">
        <f>(ROUND((H167*12)/100,-3))</f>
        <v>112000</v>
      </c>
      <c r="I170" s="11">
        <f>(ROUND((I167*12)/100,-3))</f>
        <v>104000</v>
      </c>
      <c r="J170" s="24">
        <f>(ROUND((J167*12)/100,-3))</f>
        <v>83000</v>
      </c>
      <c r="K170" s="12"/>
    </row>
    <row r="171" spans="1:11" s="1" customFormat="1" x14ac:dyDescent="0.25">
      <c r="B171" s="14">
        <f>B170+1</f>
        <v>128</v>
      </c>
      <c r="C171" s="15" t="s">
        <v>108</v>
      </c>
      <c r="D171" s="16"/>
      <c r="E171" s="16"/>
      <c r="F171" s="136">
        <v>43600</v>
      </c>
      <c r="G171" s="16">
        <v>43600</v>
      </c>
      <c r="H171" s="16">
        <v>43600</v>
      </c>
      <c r="I171" s="17">
        <v>43600</v>
      </c>
      <c r="J171" s="18">
        <f>+I171</f>
        <v>43600</v>
      </c>
    </row>
    <row r="172" spans="1:11" s="1" customFormat="1" x14ac:dyDescent="0.25">
      <c r="B172" s="9">
        <f t="shared" ref="B172:B178" si="5">1+B171</f>
        <v>129</v>
      </c>
      <c r="C172" s="10" t="s">
        <v>153</v>
      </c>
      <c r="D172" s="11"/>
      <c r="E172" s="11"/>
      <c r="F172" s="136">
        <v>184000</v>
      </c>
      <c r="G172" s="11">
        <v>135000</v>
      </c>
      <c r="H172" s="11">
        <v>25000</v>
      </c>
      <c r="I172" s="12">
        <v>4000</v>
      </c>
      <c r="J172" s="13"/>
    </row>
    <row r="173" spans="1:11" s="1" customFormat="1" ht="30" x14ac:dyDescent="0.25">
      <c r="B173" s="14">
        <f t="shared" si="5"/>
        <v>130</v>
      </c>
      <c r="C173" s="15" t="s">
        <v>109</v>
      </c>
      <c r="D173" s="16"/>
      <c r="E173" s="16"/>
      <c r="F173" s="136"/>
      <c r="G173" s="16"/>
      <c r="H173" s="16">
        <v>44000</v>
      </c>
      <c r="I173" s="77">
        <v>16000</v>
      </c>
      <c r="J173" s="78"/>
    </row>
    <row r="174" spans="1:11" s="1" customFormat="1" x14ac:dyDescent="0.25">
      <c r="B174" s="9">
        <f t="shared" si="5"/>
        <v>131</v>
      </c>
      <c r="C174" s="10" t="s">
        <v>110</v>
      </c>
      <c r="D174" s="11"/>
      <c r="E174" s="11"/>
      <c r="F174" s="136"/>
      <c r="G174" s="11"/>
      <c r="H174" s="11">
        <v>5000</v>
      </c>
      <c r="I174" s="75">
        <v>10000</v>
      </c>
      <c r="J174" s="76"/>
    </row>
    <row r="175" spans="1:11" s="20" customFormat="1" x14ac:dyDescent="0.25">
      <c r="B175" s="14">
        <f t="shared" si="5"/>
        <v>132</v>
      </c>
      <c r="C175" s="15" t="s">
        <v>111</v>
      </c>
      <c r="D175" s="16"/>
      <c r="E175" s="16"/>
      <c r="F175" s="136">
        <v>0</v>
      </c>
      <c r="G175" s="16"/>
      <c r="H175" s="16">
        <v>230195</v>
      </c>
      <c r="I175" s="118"/>
      <c r="J175" s="119"/>
    </row>
    <row r="176" spans="1:11" s="1" customFormat="1" x14ac:dyDescent="0.25">
      <c r="B176" s="9">
        <f t="shared" si="5"/>
        <v>133</v>
      </c>
      <c r="C176" s="10" t="s">
        <v>112</v>
      </c>
      <c r="D176" s="11"/>
      <c r="E176" s="11"/>
      <c r="F176" s="136"/>
      <c r="G176" s="11">
        <v>6300</v>
      </c>
      <c r="H176" s="11">
        <f>17300-6300</f>
        <v>11000</v>
      </c>
      <c r="I176" s="12"/>
      <c r="J176" s="13"/>
    </row>
    <row r="177" spans="1:11" s="58" customFormat="1" x14ac:dyDescent="0.25">
      <c r="B177" s="14">
        <f t="shared" si="5"/>
        <v>134</v>
      </c>
      <c r="C177" s="15" t="s">
        <v>113</v>
      </c>
      <c r="D177" s="16"/>
      <c r="E177" s="16"/>
      <c r="F177" s="136"/>
      <c r="G177" s="16">
        <v>20000</v>
      </c>
      <c r="H177" s="16"/>
      <c r="I177" s="17"/>
      <c r="J177" s="18"/>
    </row>
    <row r="178" spans="1:11" s="1" customFormat="1" x14ac:dyDescent="0.25">
      <c r="B178" s="9">
        <f t="shared" si="5"/>
        <v>135</v>
      </c>
      <c r="C178" s="10" t="s">
        <v>114</v>
      </c>
      <c r="D178" s="11"/>
      <c r="E178" s="11"/>
      <c r="F178" s="136">
        <v>800</v>
      </c>
      <c r="G178" s="11">
        <v>800</v>
      </c>
      <c r="H178" s="11">
        <v>800</v>
      </c>
      <c r="I178" s="11">
        <v>800</v>
      </c>
      <c r="J178" s="24"/>
    </row>
    <row r="179" spans="1:11" s="20" customFormat="1" x14ac:dyDescent="0.25">
      <c r="B179" s="14">
        <f>B178+1</f>
        <v>136</v>
      </c>
      <c r="C179" s="15" t="s">
        <v>115</v>
      </c>
      <c r="D179" s="16"/>
      <c r="E179" s="16"/>
      <c r="F179" s="136"/>
      <c r="G179" s="16">
        <v>36600</v>
      </c>
      <c r="H179" s="16"/>
      <c r="I179" s="54"/>
      <c r="J179" s="79"/>
    </row>
    <row r="180" spans="1:11" s="20" customFormat="1" ht="30" x14ac:dyDescent="0.25">
      <c r="B180" s="9">
        <f>1+B179</f>
        <v>137</v>
      </c>
      <c r="C180" s="10" t="s">
        <v>116</v>
      </c>
      <c r="D180" s="11"/>
      <c r="E180" s="11"/>
      <c r="F180" s="136">
        <v>2740</v>
      </c>
      <c r="G180" s="11">
        <v>3450</v>
      </c>
      <c r="H180" s="11">
        <v>2200</v>
      </c>
      <c r="J180" s="110"/>
    </row>
    <row r="181" spans="1:11" s="20" customFormat="1" x14ac:dyDescent="0.25">
      <c r="B181" s="14">
        <f>1+B180</f>
        <v>138</v>
      </c>
      <c r="C181" s="15" t="s">
        <v>117</v>
      </c>
      <c r="D181" s="16"/>
      <c r="E181" s="16"/>
      <c r="F181" s="136">
        <v>6000</v>
      </c>
      <c r="G181" s="16">
        <v>6000</v>
      </c>
      <c r="H181" s="16"/>
      <c r="I181" s="54"/>
      <c r="J181" s="79"/>
    </row>
    <row r="182" spans="1:11" s="20" customFormat="1" x14ac:dyDescent="0.25">
      <c r="B182" s="9">
        <f>1+B181</f>
        <v>139</v>
      </c>
      <c r="C182" s="10" t="s">
        <v>118</v>
      </c>
      <c r="D182" s="11"/>
      <c r="E182" s="11"/>
      <c r="F182" s="136">
        <v>1000</v>
      </c>
      <c r="G182" s="11">
        <v>2000</v>
      </c>
      <c r="H182" s="11"/>
      <c r="J182" s="110"/>
    </row>
    <row r="183" spans="1:11" s="21" customFormat="1" x14ac:dyDescent="0.25">
      <c r="A183" s="20"/>
      <c r="B183" s="14">
        <f>1+B182</f>
        <v>140</v>
      </c>
      <c r="C183" s="15" t="s">
        <v>119</v>
      </c>
      <c r="D183" s="16"/>
      <c r="E183" s="16"/>
      <c r="F183" s="136"/>
      <c r="G183" s="16"/>
      <c r="H183" s="16"/>
      <c r="I183" s="80">
        <v>2000</v>
      </c>
      <c r="J183" s="81"/>
    </row>
    <row r="184" spans="1:11" s="21" customFormat="1" x14ac:dyDescent="0.25">
      <c r="A184" s="20"/>
      <c r="B184" s="9">
        <f>1+B183</f>
        <v>141</v>
      </c>
      <c r="C184" s="10" t="s">
        <v>120</v>
      </c>
      <c r="D184" s="11"/>
      <c r="E184" s="11"/>
      <c r="F184" s="136"/>
      <c r="G184" s="11">
        <v>4000</v>
      </c>
      <c r="H184" s="11"/>
      <c r="I184" s="20"/>
      <c r="J184" s="110"/>
    </row>
    <row r="185" spans="1:11" s="21" customFormat="1" x14ac:dyDescent="0.25">
      <c r="A185" s="20"/>
      <c r="B185" s="14">
        <f t="shared" ref="B185:B193" si="6">1+B184</f>
        <v>142</v>
      </c>
      <c r="C185" s="15" t="s">
        <v>121</v>
      </c>
      <c r="D185" s="16"/>
      <c r="E185" s="16"/>
      <c r="F185" s="136"/>
      <c r="G185" s="16"/>
      <c r="H185" s="16">
        <v>10000</v>
      </c>
      <c r="I185" s="54"/>
      <c r="J185" s="79"/>
    </row>
    <row r="186" spans="1:11" s="21" customFormat="1" x14ac:dyDescent="0.25">
      <c r="A186" s="20"/>
      <c r="B186" s="9">
        <f t="shared" si="6"/>
        <v>143</v>
      </c>
      <c r="C186" s="10" t="s">
        <v>144</v>
      </c>
      <c r="D186" s="11"/>
      <c r="E186" s="11"/>
      <c r="F186" s="136"/>
      <c r="G186" s="11">
        <v>86155</v>
      </c>
      <c r="H186" s="11"/>
      <c r="I186" s="20"/>
      <c r="J186" s="110"/>
    </row>
    <row r="187" spans="1:11" s="21" customFormat="1" x14ac:dyDescent="0.25">
      <c r="A187" s="20"/>
      <c r="B187" s="14">
        <f t="shared" si="6"/>
        <v>144</v>
      </c>
      <c r="C187" s="15" t="s">
        <v>145</v>
      </c>
      <c r="D187" s="16"/>
      <c r="E187" s="16"/>
      <c r="F187" s="136"/>
      <c r="G187" s="16">
        <v>8000</v>
      </c>
      <c r="H187" s="16"/>
      <c r="I187" s="54"/>
      <c r="J187" s="79"/>
    </row>
    <row r="188" spans="1:11" s="21" customFormat="1" x14ac:dyDescent="0.25">
      <c r="A188" s="20"/>
      <c r="B188" s="9">
        <f t="shared" si="6"/>
        <v>145</v>
      </c>
      <c r="C188" s="10" t="s">
        <v>122</v>
      </c>
      <c r="D188" s="11"/>
      <c r="E188" s="11"/>
      <c r="F188" s="136"/>
      <c r="G188" s="11"/>
      <c r="H188" s="11">
        <v>5000</v>
      </c>
      <c r="I188" s="111">
        <v>5000</v>
      </c>
      <c r="J188" s="112"/>
    </row>
    <row r="189" spans="1:11" s="21" customFormat="1" x14ac:dyDescent="0.25">
      <c r="A189" s="20"/>
      <c r="B189" s="14">
        <f t="shared" si="6"/>
        <v>146</v>
      </c>
      <c r="C189" s="15" t="s">
        <v>147</v>
      </c>
      <c r="D189" s="16"/>
      <c r="E189" s="16"/>
      <c r="F189" s="136"/>
      <c r="G189" s="138">
        <v>7354</v>
      </c>
      <c r="H189" s="16">
        <v>14538</v>
      </c>
      <c r="I189" s="80">
        <v>21587</v>
      </c>
      <c r="J189" s="81">
        <v>28043.666666666668</v>
      </c>
    </row>
    <row r="190" spans="1:11" s="21" customFormat="1" x14ac:dyDescent="0.25">
      <c r="A190" s="20"/>
      <c r="B190" s="9">
        <f t="shared" si="6"/>
        <v>147</v>
      </c>
      <c r="C190" s="10" t="s">
        <v>154</v>
      </c>
      <c r="D190" s="11"/>
      <c r="E190" s="11"/>
      <c r="F190" s="136"/>
      <c r="G190" s="120"/>
      <c r="H190" s="11"/>
      <c r="I190" s="111"/>
      <c r="J190" s="112">
        <v>7500</v>
      </c>
    </row>
    <row r="191" spans="1:11" s="21" customFormat="1" x14ac:dyDescent="0.25">
      <c r="A191" s="20"/>
      <c r="B191" s="14">
        <f t="shared" si="6"/>
        <v>148</v>
      </c>
      <c r="C191" s="15" t="s">
        <v>155</v>
      </c>
      <c r="D191" s="16"/>
      <c r="E191" s="16"/>
      <c r="F191" s="136"/>
      <c r="G191" s="121"/>
      <c r="H191" s="16"/>
      <c r="I191" s="80"/>
      <c r="J191" s="81">
        <v>4500</v>
      </c>
    </row>
    <row r="192" spans="1:11" s="21" customFormat="1" x14ac:dyDescent="0.25">
      <c r="A192" s="20"/>
      <c r="B192" s="9">
        <f t="shared" si="6"/>
        <v>149</v>
      </c>
      <c r="C192" s="10" t="s">
        <v>159</v>
      </c>
      <c r="D192" s="11"/>
      <c r="E192" s="11"/>
      <c r="F192" s="136"/>
      <c r="G192" s="125">
        <v>81264</v>
      </c>
      <c r="H192" s="11"/>
      <c r="I192" s="111"/>
      <c r="J192" s="111"/>
      <c r="K192" s="139"/>
    </row>
    <row r="193" spans="1:11" s="21" customFormat="1" x14ac:dyDescent="0.25">
      <c r="A193" s="20"/>
      <c r="B193" s="30">
        <f t="shared" si="6"/>
        <v>150</v>
      </c>
      <c r="C193" s="15" t="s">
        <v>123</v>
      </c>
      <c r="D193" s="31"/>
      <c r="E193" s="31"/>
      <c r="F193" s="136">
        <v>593905</v>
      </c>
      <c r="G193" s="16">
        <f>G167-(SUM(G169:G192))</f>
        <v>528331</v>
      </c>
      <c r="H193" s="16">
        <f>H167-(SUM(H169:H191))</f>
        <v>233867</v>
      </c>
      <c r="I193" s="16">
        <f>I167-(SUM(I169:I191))</f>
        <v>409963</v>
      </c>
      <c r="J193" s="16">
        <f>J167-(SUM(J169:J191))</f>
        <v>222906.33333333331</v>
      </c>
      <c r="K193" s="139"/>
    </row>
    <row r="194" spans="1:11" s="21" customFormat="1" x14ac:dyDescent="0.25">
      <c r="A194" s="20"/>
      <c r="B194" s="47"/>
      <c r="C194" s="40" t="s">
        <v>124</v>
      </c>
      <c r="D194" s="66"/>
      <c r="E194" s="66"/>
      <c r="F194" s="136"/>
      <c r="G194" s="41">
        <f>SUM(G169:G193)</f>
        <v>1274544</v>
      </c>
      <c r="H194" s="41">
        <f>SUM(H169:H193)</f>
        <v>934400</v>
      </c>
      <c r="I194" s="41">
        <f>SUM(I169:I193)</f>
        <v>862950</v>
      </c>
      <c r="J194" s="29">
        <f>SUM(J169:J193)</f>
        <v>693150</v>
      </c>
      <c r="K194" s="139"/>
    </row>
    <row r="195" spans="1:11" x14ac:dyDescent="0.25">
      <c r="B195" s="26"/>
      <c r="C195" s="40" t="s">
        <v>125</v>
      </c>
      <c r="D195" s="82"/>
      <c r="E195" s="82"/>
      <c r="F195" s="136"/>
      <c r="G195" s="83">
        <f>1-G196</f>
        <v>0.58547449126903428</v>
      </c>
      <c r="H195" s="83">
        <f>1-H196</f>
        <v>0.74971425513698631</v>
      </c>
      <c r="I195" s="83">
        <f>1-I196</f>
        <v>0.52492844313111997</v>
      </c>
      <c r="J195" s="83">
        <f>1-J196</f>
        <v>0.67841544639207485</v>
      </c>
    </row>
    <row r="196" spans="1:11" ht="15.75" thickBot="1" x14ac:dyDescent="0.3">
      <c r="B196" s="84"/>
      <c r="C196" s="85" t="s">
        <v>126</v>
      </c>
      <c r="D196" s="86"/>
      <c r="E196" s="86"/>
      <c r="F196" s="144"/>
      <c r="G196" s="87">
        <f>+G193/G194</f>
        <v>0.41452550873096572</v>
      </c>
      <c r="H196" s="87">
        <f>+H193/H194</f>
        <v>0.25028574486301369</v>
      </c>
      <c r="I196" s="87">
        <f>+I193/I194</f>
        <v>0.47507155686888003</v>
      </c>
      <c r="J196" s="87">
        <f>+J193/J194</f>
        <v>0.32158455360792515</v>
      </c>
    </row>
    <row r="197" spans="1:11" x14ac:dyDescent="0.25">
      <c r="C197" s="90"/>
    </row>
    <row r="198" spans="1:11" x14ac:dyDescent="0.25">
      <c r="C198" s="91"/>
      <c r="K198" s="35"/>
    </row>
    <row r="199" spans="1:11" x14ac:dyDescent="0.25">
      <c r="C199" s="91"/>
      <c r="I199" s="34"/>
      <c r="J199" s="34"/>
    </row>
    <row r="200" spans="1:11" ht="30" x14ac:dyDescent="0.25">
      <c r="C200" s="92" t="s">
        <v>148</v>
      </c>
      <c r="D200" s="93">
        <f>SUM(G194:J194)</f>
        <v>3765044</v>
      </c>
      <c r="I200" s="34"/>
      <c r="J200" s="34"/>
    </row>
    <row r="201" spans="1:11" x14ac:dyDescent="0.25">
      <c r="C201" s="92" t="s">
        <v>127</v>
      </c>
      <c r="D201" s="93">
        <f>SUM(G193:J193)</f>
        <v>1395067.3333333333</v>
      </c>
    </row>
    <row r="202" spans="1:11" x14ac:dyDescent="0.25">
      <c r="C202" s="92" t="s">
        <v>128</v>
      </c>
      <c r="D202" s="94">
        <v>0.63</v>
      </c>
    </row>
    <row r="203" spans="1:11" x14ac:dyDescent="0.25">
      <c r="C203" s="92" t="s">
        <v>129</v>
      </c>
      <c r="D203" s="94">
        <f>+D201/D200</f>
        <v>0.37053148205793429</v>
      </c>
    </row>
  </sheetData>
  <conditionalFormatting sqref="E74:F74">
    <cfRule type="expression" dxfId="140" priority="5">
      <formula>#REF!=#REF!</formula>
    </cfRule>
    <cfRule type="expression" dxfId="139" priority="6">
      <formula>#REF!=#REF!</formula>
    </cfRule>
  </conditionalFormatting>
  <conditionalFormatting sqref="G74:H74 B28:B32 I148:J148 B48 G176:H177 G12:J13 B26 B6 B83 B15 C74:D74 B176:E177 B12:E13 D26:H26 B128:J128 B112:H113 B157:J157 B84:J84 B3:H5 B100:J101 B110:J111 B117:H127 B27:H27 B16:J16 B60:J60 B85:H85 B80:H80 B41:J41 B114:J116 I156:J156 I165:J165 F58:H59 B168:H169 B61:H62 B33:J33 B57:J57 C75:H75 B49:H56 B42:H47 B170:J170 B7:H11 B81 D81:H81 B87:J87 B154:H156 B153:J153 B145 D145:H145 B14:H14 C63:H73 B63:B75 B76:J79 B82:H82 B171:H175 B166:J167 B58:D59 B88:H99 B102:H109 B146:H152 B193:J196 I178:J178 B178:H192 B17:H25 B34:H40 B129:H144 B158:H165">
    <cfRule type="expression" dxfId="138" priority="7">
      <formula>#REF!=#REF!</formula>
    </cfRule>
    <cfRule type="expression" dxfId="137" priority="8">
      <formula>#REF!=#REF!</formula>
    </cfRule>
  </conditionalFormatting>
  <conditionalFormatting sqref="C31:D32 E32 C15:H15 D28:E30 C48:H48 E6:H6 C83:H83 F28:H32">
    <cfRule type="expression" dxfId="136" priority="9">
      <formula>#REF!=#REF!</formula>
    </cfRule>
    <cfRule type="expression" dxfId="135" priority="10">
      <formula>#REF!=#REF!</formula>
    </cfRule>
  </conditionalFormatting>
  <conditionalFormatting sqref="C6:D6">
    <cfRule type="expression" dxfId="134" priority="1">
      <formula>#REF!=#REF!</formula>
    </cfRule>
    <cfRule type="expression" dxfId="133" priority="2">
      <formula>#REF!=#REF!</formula>
    </cfRule>
  </conditionalFormatting>
  <pageMargins left="0" right="0" top="0" bottom="0" header="0.31496062992125984" footer="0.31496062992125984"/>
  <pageSetup paperSize="9" scale="73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workbookViewId="0"/>
  </sheetViews>
  <sheetFormatPr baseColWidth="10" defaultRowHeight="15" x14ac:dyDescent="0.25"/>
  <cols>
    <col min="2" max="2" width="14.5703125" bestFit="1" customWidth="1"/>
    <col min="3" max="3" width="64.85546875" bestFit="1" customWidth="1"/>
    <col min="4" max="4" width="16.28515625" bestFit="1" customWidth="1"/>
  </cols>
  <sheetData>
    <row r="1" spans="2:8" ht="15.75" thickBot="1" x14ac:dyDescent="0.3"/>
    <row r="2" spans="2:8" ht="19.5" thickBot="1" x14ac:dyDescent="0.35">
      <c r="B2" s="466" t="s">
        <v>336</v>
      </c>
      <c r="C2" s="467"/>
      <c r="D2" s="317">
        <f>+E23+F23+G23+H23</f>
        <v>544750</v>
      </c>
      <c r="E2" s="318"/>
      <c r="F2" s="318"/>
      <c r="G2" s="318"/>
      <c r="H2" s="319"/>
    </row>
    <row r="3" spans="2:8" ht="19.5" thickBot="1" x14ac:dyDescent="0.35">
      <c r="B3" s="340"/>
      <c r="C3" s="340"/>
      <c r="D3" s="341"/>
      <c r="E3" s="342"/>
      <c r="F3" s="342"/>
      <c r="G3" s="342"/>
      <c r="H3" s="342"/>
    </row>
    <row r="4" spans="2:8" ht="18.75" x14ac:dyDescent="0.3">
      <c r="B4" s="468" t="s">
        <v>337</v>
      </c>
      <c r="C4" s="469"/>
      <c r="D4" s="338"/>
      <c r="E4" s="338"/>
      <c r="F4" s="338"/>
      <c r="G4" s="338"/>
      <c r="H4" s="339"/>
    </row>
    <row r="5" spans="2:8" x14ac:dyDescent="0.25">
      <c r="B5" s="320" t="s">
        <v>327</v>
      </c>
      <c r="C5" s="321" t="s">
        <v>290</v>
      </c>
      <c r="D5" s="322" t="s">
        <v>287</v>
      </c>
      <c r="E5" s="323" t="s">
        <v>218</v>
      </c>
      <c r="F5" s="323" t="s">
        <v>219</v>
      </c>
      <c r="G5" s="323" t="s">
        <v>220</v>
      </c>
      <c r="H5" s="324" t="s">
        <v>272</v>
      </c>
    </row>
    <row r="6" spans="2:8" x14ac:dyDescent="0.25">
      <c r="B6" s="316" t="s">
        <v>289</v>
      </c>
      <c r="C6" s="263" t="s">
        <v>160</v>
      </c>
      <c r="D6" s="325">
        <v>110000</v>
      </c>
      <c r="E6" s="325">
        <v>44000</v>
      </c>
      <c r="F6" s="325">
        <v>22000</v>
      </c>
      <c r="G6" s="325">
        <v>4000</v>
      </c>
      <c r="H6" s="326"/>
    </row>
    <row r="7" spans="2:8" x14ac:dyDescent="0.25">
      <c r="B7" s="316" t="s">
        <v>289</v>
      </c>
      <c r="C7" s="263" t="s">
        <v>3</v>
      </c>
      <c r="D7" s="325"/>
      <c r="E7" s="325">
        <v>1000</v>
      </c>
      <c r="F7" s="325">
        <v>1000</v>
      </c>
      <c r="G7" s="325">
        <v>1000</v>
      </c>
      <c r="H7" s="326">
        <v>1000</v>
      </c>
    </row>
    <row r="8" spans="2:8" x14ac:dyDescent="0.25">
      <c r="B8" s="316" t="s">
        <v>289</v>
      </c>
      <c r="C8" s="263" t="s">
        <v>149</v>
      </c>
      <c r="D8" s="325">
        <v>140000</v>
      </c>
      <c r="E8" s="325">
        <v>4000</v>
      </c>
      <c r="F8" s="325">
        <v>30000</v>
      </c>
      <c r="G8" s="325">
        <v>50000</v>
      </c>
      <c r="H8" s="326">
        <v>56000</v>
      </c>
    </row>
    <row r="9" spans="2:8" x14ac:dyDescent="0.25">
      <c r="B9" s="316" t="s">
        <v>289</v>
      </c>
      <c r="C9" s="263" t="s">
        <v>150</v>
      </c>
      <c r="D9" s="325">
        <v>150000</v>
      </c>
      <c r="E9" s="325">
        <v>4000</v>
      </c>
      <c r="F9" s="325">
        <v>30000</v>
      </c>
      <c r="G9" s="325">
        <v>50000</v>
      </c>
      <c r="H9" s="326">
        <v>66000</v>
      </c>
    </row>
    <row r="10" spans="2:8" x14ac:dyDescent="0.25">
      <c r="B10" s="316" t="s">
        <v>289</v>
      </c>
      <c r="C10" s="263" t="s">
        <v>134</v>
      </c>
      <c r="D10" s="325">
        <v>350</v>
      </c>
      <c r="E10" s="325">
        <v>350</v>
      </c>
      <c r="F10" s="325" t="s">
        <v>239</v>
      </c>
      <c r="G10" s="325" t="s">
        <v>239</v>
      </c>
      <c r="H10" s="326" t="s">
        <v>239</v>
      </c>
    </row>
    <row r="11" spans="2:8" x14ac:dyDescent="0.25">
      <c r="B11" s="316" t="s">
        <v>289</v>
      </c>
      <c r="C11" s="263" t="s">
        <v>6</v>
      </c>
      <c r="D11" s="325" t="s">
        <v>239</v>
      </c>
      <c r="E11" s="325">
        <v>3000</v>
      </c>
      <c r="F11" s="325">
        <v>1500</v>
      </c>
      <c r="G11" s="325">
        <v>1500</v>
      </c>
      <c r="H11" s="326">
        <v>1500</v>
      </c>
    </row>
    <row r="12" spans="2:8" x14ac:dyDescent="0.25">
      <c r="B12" s="316" t="s">
        <v>289</v>
      </c>
      <c r="C12" s="263" t="s">
        <v>187</v>
      </c>
      <c r="D12" s="325">
        <v>6600</v>
      </c>
      <c r="E12" s="325"/>
      <c r="F12" s="325">
        <v>4000</v>
      </c>
      <c r="G12" s="325"/>
      <c r="H12" s="326"/>
    </row>
    <row r="13" spans="2:8" x14ac:dyDescent="0.25">
      <c r="B13" s="347" t="s">
        <v>285</v>
      </c>
      <c r="C13" s="346" t="s">
        <v>300</v>
      </c>
      <c r="D13" s="348">
        <v>600</v>
      </c>
      <c r="E13" s="348">
        <v>600</v>
      </c>
      <c r="F13" s="348"/>
      <c r="G13" s="348"/>
      <c r="H13" s="349"/>
    </row>
    <row r="14" spans="2:8" x14ac:dyDescent="0.25">
      <c r="B14" s="316" t="s">
        <v>289</v>
      </c>
      <c r="C14" s="346" t="s">
        <v>206</v>
      </c>
      <c r="D14" s="325"/>
      <c r="E14" s="325">
        <v>10000</v>
      </c>
      <c r="F14" s="325">
        <v>10000</v>
      </c>
      <c r="G14" s="325">
        <v>10000</v>
      </c>
      <c r="H14" s="326">
        <v>0</v>
      </c>
    </row>
    <row r="15" spans="2:8" x14ac:dyDescent="0.25">
      <c r="B15" s="316" t="s">
        <v>289</v>
      </c>
      <c r="C15" s="346" t="s">
        <v>207</v>
      </c>
      <c r="D15" s="325"/>
      <c r="E15" s="325">
        <v>5000</v>
      </c>
      <c r="F15" s="325">
        <v>2500</v>
      </c>
      <c r="G15" s="325"/>
      <c r="H15" s="326"/>
    </row>
    <row r="16" spans="2:8" x14ac:dyDescent="0.25">
      <c r="B16" s="316" t="s">
        <v>289</v>
      </c>
      <c r="C16" s="346" t="s">
        <v>208</v>
      </c>
      <c r="D16" s="325"/>
      <c r="E16" s="325">
        <v>2000</v>
      </c>
      <c r="F16" s="325">
        <v>2000</v>
      </c>
      <c r="G16" s="325">
        <v>2000</v>
      </c>
      <c r="H16" s="326">
        <v>0</v>
      </c>
    </row>
    <row r="17" spans="2:8" x14ac:dyDescent="0.25">
      <c r="B17" s="316" t="s">
        <v>289</v>
      </c>
      <c r="C17" s="346" t="s">
        <v>138</v>
      </c>
      <c r="D17" s="325"/>
      <c r="E17" s="325">
        <v>2800</v>
      </c>
      <c r="F17" s="325">
        <v>800</v>
      </c>
      <c r="G17" s="325">
        <v>800</v>
      </c>
      <c r="H17" s="326">
        <v>0</v>
      </c>
    </row>
    <row r="18" spans="2:8" x14ac:dyDescent="0.25">
      <c r="B18" s="316" t="s">
        <v>289</v>
      </c>
      <c r="C18" s="346" t="s">
        <v>94</v>
      </c>
      <c r="D18" s="325"/>
      <c r="E18" s="325">
        <v>21100</v>
      </c>
      <c r="F18" s="325">
        <v>22100</v>
      </c>
      <c r="G18" s="325">
        <v>23100</v>
      </c>
      <c r="H18" s="326">
        <v>23100</v>
      </c>
    </row>
    <row r="19" spans="2:8" x14ac:dyDescent="0.25">
      <c r="B19" s="316" t="s">
        <v>289</v>
      </c>
      <c r="C19" s="346" t="s">
        <v>33</v>
      </c>
      <c r="D19" s="325"/>
      <c r="E19" s="325">
        <v>3500</v>
      </c>
      <c r="F19" s="325">
        <v>3500</v>
      </c>
      <c r="G19" s="325"/>
      <c r="H19" s="326"/>
    </row>
    <row r="20" spans="2:8" x14ac:dyDescent="0.25">
      <c r="B20" s="316" t="s">
        <v>289</v>
      </c>
      <c r="C20" s="346" t="s">
        <v>137</v>
      </c>
      <c r="D20" s="325"/>
      <c r="E20" s="325">
        <v>5000</v>
      </c>
      <c r="F20" s="325">
        <v>5000</v>
      </c>
      <c r="G20" s="325">
        <v>5000</v>
      </c>
      <c r="H20" s="326">
        <v>5000</v>
      </c>
    </row>
    <row r="21" spans="2:8" x14ac:dyDescent="0.25">
      <c r="B21" s="316" t="s">
        <v>289</v>
      </c>
      <c r="C21" s="346" t="s">
        <v>37</v>
      </c>
      <c r="D21" s="325"/>
      <c r="E21" s="325">
        <v>2000</v>
      </c>
      <c r="F21" s="325">
        <v>2000</v>
      </c>
      <c r="G21" s="325"/>
      <c r="H21" s="326"/>
    </row>
    <row r="22" spans="2:8" ht="15.75" thickBot="1" x14ac:dyDescent="0.3">
      <c r="B22" s="344"/>
      <c r="C22" s="345"/>
      <c r="D22" s="325"/>
      <c r="E22" s="325"/>
      <c r="F22" s="325"/>
      <c r="G22" s="325"/>
      <c r="H22" s="326"/>
    </row>
    <row r="23" spans="2:8" ht="15.75" thickBot="1" x14ac:dyDescent="0.3">
      <c r="B23" s="308"/>
      <c r="C23" s="309" t="s">
        <v>335</v>
      </c>
      <c r="D23" s="310"/>
      <c r="E23" s="310">
        <f>SUM(E6:E22)</f>
        <v>108350</v>
      </c>
      <c r="F23" s="310">
        <f>SUM(F6:F22)</f>
        <v>136400</v>
      </c>
      <c r="G23" s="310">
        <f>SUM(G6:G22)</f>
        <v>147400</v>
      </c>
      <c r="H23" s="311">
        <f>SUM(H6:H22)</f>
        <v>152600</v>
      </c>
    </row>
  </sheetData>
  <mergeCells count="2">
    <mergeCell ref="B2:C2"/>
    <mergeCell ref="B4:C4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workbookViewId="0"/>
  </sheetViews>
  <sheetFormatPr baseColWidth="10" defaultRowHeight="15" x14ac:dyDescent="0.25"/>
  <cols>
    <col min="1" max="1" width="2.42578125" customWidth="1"/>
    <col min="2" max="2" width="20.140625" customWidth="1"/>
    <col min="3" max="3" width="111.28515625" bestFit="1" customWidth="1"/>
    <col min="4" max="4" width="18.28515625" style="215" customWidth="1"/>
    <col min="5" max="5" width="12.140625" style="215" bestFit="1" customWidth="1"/>
    <col min="6" max="8" width="11.42578125" style="215"/>
    <col min="9" max="9" width="255.7109375" bestFit="1" customWidth="1"/>
  </cols>
  <sheetData>
    <row r="1" spans="2:9" ht="15.75" thickBot="1" x14ac:dyDescent="0.3"/>
    <row r="2" spans="2:9" ht="29.25" customHeight="1" thickBot="1" x14ac:dyDescent="0.4">
      <c r="B2" s="472" t="s">
        <v>313</v>
      </c>
      <c r="C2" s="473"/>
      <c r="D2" s="327">
        <f>+E37+G37+F37+H37</f>
        <v>610250</v>
      </c>
      <c r="E2" s="327"/>
      <c r="F2" s="327"/>
      <c r="G2" s="327"/>
      <c r="H2" s="328"/>
    </row>
    <row r="3" spans="2:9" s="292" customFormat="1" ht="25.5" customHeight="1" thickBot="1" x14ac:dyDescent="0.4">
      <c r="B3" s="336"/>
      <c r="C3" s="336"/>
      <c r="D3" s="337"/>
      <c r="E3" s="337"/>
      <c r="F3" s="337"/>
      <c r="G3" s="337"/>
      <c r="H3" s="337"/>
    </row>
    <row r="4" spans="2:9" s="307" customFormat="1" ht="18.75" x14ac:dyDescent="0.3">
      <c r="B4" s="468" t="s">
        <v>291</v>
      </c>
      <c r="C4" s="469"/>
      <c r="D4" s="338"/>
      <c r="E4" s="338"/>
      <c r="F4" s="338"/>
      <c r="G4" s="338"/>
      <c r="H4" s="339"/>
    </row>
    <row r="5" spans="2:9" x14ac:dyDescent="0.25">
      <c r="B5" s="320" t="s">
        <v>327</v>
      </c>
      <c r="C5" s="321" t="s">
        <v>290</v>
      </c>
      <c r="D5" s="322" t="s">
        <v>287</v>
      </c>
      <c r="E5" s="323" t="s">
        <v>218</v>
      </c>
      <c r="F5" s="323" t="s">
        <v>219</v>
      </c>
      <c r="G5" s="323" t="s">
        <v>220</v>
      </c>
      <c r="H5" s="324" t="s">
        <v>272</v>
      </c>
      <c r="I5" s="306"/>
    </row>
    <row r="6" spans="2:9" x14ac:dyDescent="0.25">
      <c r="B6" s="316" t="s">
        <v>345</v>
      </c>
      <c r="C6" s="263" t="s">
        <v>179</v>
      </c>
      <c r="D6" s="325">
        <v>125000</v>
      </c>
      <c r="E6" s="325">
        <v>54000</v>
      </c>
      <c r="F6" s="325">
        <v>48700</v>
      </c>
      <c r="G6" s="325"/>
      <c r="H6" s="326"/>
    </row>
    <row r="7" spans="2:9" x14ac:dyDescent="0.25">
      <c r="B7" s="316" t="s">
        <v>345</v>
      </c>
      <c r="C7" s="263" t="s">
        <v>171</v>
      </c>
      <c r="D7" s="325">
        <v>51000</v>
      </c>
      <c r="E7" s="325">
        <v>20000</v>
      </c>
      <c r="F7" s="325"/>
      <c r="G7" s="325"/>
      <c r="H7" s="326"/>
    </row>
    <row r="8" spans="2:9" x14ac:dyDescent="0.25">
      <c r="B8" s="316" t="s">
        <v>289</v>
      </c>
      <c r="C8" s="263" t="s">
        <v>172</v>
      </c>
      <c r="D8" s="325">
        <v>474000</v>
      </c>
      <c r="E8" s="325">
        <v>29000</v>
      </c>
      <c r="F8" s="325"/>
      <c r="G8" s="325"/>
      <c r="H8" s="326"/>
    </row>
    <row r="9" spans="2:9" x14ac:dyDescent="0.25">
      <c r="B9" s="316" t="s">
        <v>341</v>
      </c>
      <c r="C9" s="263" t="s">
        <v>284</v>
      </c>
      <c r="D9" s="325">
        <v>60000</v>
      </c>
      <c r="E9" s="325">
        <v>14500</v>
      </c>
      <c r="F9" s="325">
        <v>40000</v>
      </c>
      <c r="G9" s="325">
        <v>4850</v>
      </c>
      <c r="H9" s="326"/>
    </row>
    <row r="10" spans="2:9" x14ac:dyDescent="0.25">
      <c r="B10" s="316" t="s">
        <v>289</v>
      </c>
      <c r="C10" s="263" t="s">
        <v>133</v>
      </c>
      <c r="D10" s="325"/>
      <c r="E10" s="325">
        <v>3000</v>
      </c>
      <c r="F10" s="325">
        <v>4000</v>
      </c>
      <c r="G10" s="325">
        <v>4000</v>
      </c>
      <c r="H10" s="326"/>
    </row>
    <row r="11" spans="2:9" x14ac:dyDescent="0.25">
      <c r="B11" s="316" t="s">
        <v>289</v>
      </c>
      <c r="C11" s="263" t="s">
        <v>22</v>
      </c>
      <c r="D11" s="325"/>
      <c r="E11" s="325">
        <v>1000</v>
      </c>
      <c r="F11" s="325">
        <v>1000</v>
      </c>
      <c r="G11" s="325">
        <v>1000</v>
      </c>
      <c r="H11" s="326">
        <v>1000</v>
      </c>
    </row>
    <row r="12" spans="2:9" x14ac:dyDescent="0.25">
      <c r="B12" s="316" t="s">
        <v>289</v>
      </c>
      <c r="C12" s="263" t="s">
        <v>250</v>
      </c>
      <c r="D12" s="325">
        <v>25000</v>
      </c>
      <c r="E12" s="325">
        <v>11400</v>
      </c>
      <c r="F12" s="325"/>
      <c r="G12" s="325"/>
      <c r="H12" s="326"/>
    </row>
    <row r="13" spans="2:9" x14ac:dyDescent="0.25">
      <c r="B13" s="316" t="s">
        <v>341</v>
      </c>
      <c r="C13" s="263" t="s">
        <v>332</v>
      </c>
      <c r="D13" s="325">
        <v>26500</v>
      </c>
      <c r="E13" s="325">
        <v>6800</v>
      </c>
      <c r="F13" s="325"/>
      <c r="G13" s="325"/>
      <c r="H13" s="326"/>
    </row>
    <row r="14" spans="2:9" x14ac:dyDescent="0.25">
      <c r="B14" s="316" t="s">
        <v>289</v>
      </c>
      <c r="C14" s="263" t="s">
        <v>97</v>
      </c>
      <c r="D14" s="325"/>
      <c r="E14" s="325">
        <v>1500</v>
      </c>
      <c r="F14" s="325">
        <v>1500</v>
      </c>
      <c r="G14" s="325">
        <v>1500</v>
      </c>
      <c r="H14" s="326">
        <v>1500</v>
      </c>
    </row>
    <row r="15" spans="2:9" x14ac:dyDescent="0.25">
      <c r="B15" s="316" t="s">
        <v>238</v>
      </c>
      <c r="C15" s="263" t="s">
        <v>282</v>
      </c>
      <c r="D15" s="325">
        <v>27000</v>
      </c>
      <c r="E15" s="325">
        <v>27000</v>
      </c>
      <c r="F15" s="325"/>
      <c r="G15" s="325"/>
      <c r="H15" s="326"/>
    </row>
    <row r="16" spans="2:9" x14ac:dyDescent="0.25">
      <c r="B16" s="316" t="s">
        <v>238</v>
      </c>
      <c r="C16" s="263" t="s">
        <v>288</v>
      </c>
      <c r="D16" s="325"/>
      <c r="E16" s="325">
        <v>5000</v>
      </c>
      <c r="F16" s="325">
        <v>5000</v>
      </c>
      <c r="G16" s="325">
        <v>5000</v>
      </c>
      <c r="H16" s="326">
        <v>5000</v>
      </c>
    </row>
    <row r="17" spans="2:8" x14ac:dyDescent="0.25">
      <c r="B17" s="316" t="s">
        <v>238</v>
      </c>
      <c r="C17" s="263" t="s">
        <v>286</v>
      </c>
      <c r="D17" s="325"/>
      <c r="E17" s="325"/>
      <c r="F17" s="325">
        <v>1000</v>
      </c>
      <c r="G17" s="325">
        <v>2000</v>
      </c>
      <c r="H17" s="326">
        <v>2000</v>
      </c>
    </row>
    <row r="18" spans="2:8" ht="15.75" thickBot="1" x14ac:dyDescent="0.3">
      <c r="B18" s="316" t="s">
        <v>238</v>
      </c>
      <c r="C18" s="263" t="s">
        <v>283</v>
      </c>
      <c r="D18" s="325"/>
      <c r="E18" s="325">
        <v>3000</v>
      </c>
      <c r="F18" s="325"/>
      <c r="G18" s="325"/>
      <c r="H18" s="326"/>
    </row>
    <row r="19" spans="2:8" ht="15.75" thickBot="1" x14ac:dyDescent="0.3">
      <c r="B19" s="308"/>
      <c r="C19" s="309" t="s">
        <v>292</v>
      </c>
      <c r="D19" s="310"/>
      <c r="E19" s="310">
        <f>SUM(E6:E18)</f>
        <v>176200</v>
      </c>
      <c r="F19" s="310">
        <f>SUM(F6:F18)</f>
        <v>101200</v>
      </c>
      <c r="G19" s="310">
        <f>SUM(G6:G18)</f>
        <v>18350</v>
      </c>
      <c r="H19" s="311">
        <f>SUM(H6:H18)</f>
        <v>9500</v>
      </c>
    </row>
    <row r="20" spans="2:8" x14ac:dyDescent="0.25">
      <c r="B20" s="329"/>
      <c r="C20" s="329"/>
      <c r="D20" s="330"/>
      <c r="E20" s="330"/>
      <c r="F20" s="330"/>
      <c r="G20" s="330"/>
      <c r="H20" s="330"/>
    </row>
    <row r="21" spans="2:8" s="263" customFormat="1" ht="12" customHeight="1" thickBot="1" x14ac:dyDescent="0.3">
      <c r="B21" s="329"/>
      <c r="C21" s="329"/>
      <c r="D21" s="330"/>
      <c r="E21" s="330"/>
      <c r="F21" s="330"/>
      <c r="G21" s="330"/>
      <c r="H21" s="330"/>
    </row>
    <row r="22" spans="2:8" s="352" customFormat="1" ht="25.5" hidden="1" customHeight="1" thickBot="1" x14ac:dyDescent="0.4">
      <c r="B22" s="350"/>
      <c r="C22" s="350"/>
      <c r="D22" s="351"/>
      <c r="E22" s="351"/>
      <c r="F22" s="351"/>
      <c r="G22" s="351"/>
      <c r="H22" s="351"/>
    </row>
    <row r="23" spans="2:8" x14ac:dyDescent="0.25">
      <c r="B23" s="332"/>
      <c r="C23" s="333"/>
      <c r="D23" s="334"/>
      <c r="E23" s="334"/>
      <c r="F23" s="334"/>
      <c r="G23" s="334"/>
      <c r="H23" s="335"/>
    </row>
    <row r="24" spans="2:8" ht="18.75" x14ac:dyDescent="0.3">
      <c r="B24" s="470" t="s">
        <v>297</v>
      </c>
      <c r="C24" s="471"/>
      <c r="D24" s="325"/>
      <c r="E24" s="325"/>
      <c r="F24" s="325"/>
      <c r="G24" s="325"/>
      <c r="H24" s="326"/>
    </row>
    <row r="25" spans="2:8" x14ac:dyDescent="0.25">
      <c r="B25" s="320" t="s">
        <v>327</v>
      </c>
      <c r="C25" s="321" t="s">
        <v>290</v>
      </c>
      <c r="D25" s="322" t="s">
        <v>287</v>
      </c>
      <c r="E25" s="323" t="s">
        <v>218</v>
      </c>
      <c r="F25" s="323" t="s">
        <v>219</v>
      </c>
      <c r="G25" s="323" t="s">
        <v>220</v>
      </c>
      <c r="H25" s="324" t="s">
        <v>272</v>
      </c>
    </row>
    <row r="26" spans="2:8" x14ac:dyDescent="0.25">
      <c r="B26" s="316" t="s">
        <v>289</v>
      </c>
      <c r="C26" s="263" t="s">
        <v>231</v>
      </c>
      <c r="D26" s="325">
        <v>64000</v>
      </c>
      <c r="E26" s="325"/>
      <c r="F26" s="325"/>
      <c r="G26" s="325">
        <v>2000</v>
      </c>
      <c r="H26" s="326">
        <v>20000</v>
      </c>
    </row>
    <row r="27" spans="2:8" x14ac:dyDescent="0.25">
      <c r="B27" s="316" t="s">
        <v>289</v>
      </c>
      <c r="C27" s="263" t="s">
        <v>232</v>
      </c>
      <c r="D27" s="325">
        <v>80000</v>
      </c>
      <c r="E27" s="325">
        <v>2000</v>
      </c>
      <c r="F27" s="325">
        <v>45000</v>
      </c>
      <c r="G27" s="325">
        <v>30000</v>
      </c>
      <c r="H27" s="326">
        <v>3000</v>
      </c>
    </row>
    <row r="28" spans="2:8" x14ac:dyDescent="0.25">
      <c r="B28" s="316" t="s">
        <v>289</v>
      </c>
      <c r="C28" s="263" t="s">
        <v>233</v>
      </c>
      <c r="D28" s="325">
        <v>20000</v>
      </c>
      <c r="E28" s="325">
        <v>10000</v>
      </c>
      <c r="F28" s="325">
        <v>0</v>
      </c>
      <c r="G28" s="325">
        <v>0</v>
      </c>
      <c r="H28" s="326">
        <v>0</v>
      </c>
    </row>
    <row r="29" spans="2:8" x14ac:dyDescent="0.25">
      <c r="B29" s="316" t="s">
        <v>289</v>
      </c>
      <c r="C29" s="263" t="s">
        <v>22</v>
      </c>
      <c r="D29" s="325"/>
      <c r="E29" s="325">
        <v>1000</v>
      </c>
      <c r="F29" s="325">
        <v>1000</v>
      </c>
      <c r="G29" s="325">
        <v>1000</v>
      </c>
      <c r="H29" s="326">
        <v>1000</v>
      </c>
    </row>
    <row r="30" spans="2:8" x14ac:dyDescent="0.25">
      <c r="B30" s="316" t="s">
        <v>289</v>
      </c>
      <c r="C30" s="263" t="s">
        <v>234</v>
      </c>
      <c r="D30" s="325"/>
      <c r="E30" s="325">
        <v>1000</v>
      </c>
      <c r="F30" s="325">
        <v>1000</v>
      </c>
      <c r="G30" s="325">
        <v>1000</v>
      </c>
      <c r="H30" s="326">
        <v>1000</v>
      </c>
    </row>
    <row r="31" spans="2:8" x14ac:dyDescent="0.25">
      <c r="B31" s="316" t="s">
        <v>289</v>
      </c>
      <c r="C31" s="263" t="s">
        <v>235</v>
      </c>
      <c r="D31" s="325"/>
      <c r="E31" s="325">
        <v>30000</v>
      </c>
      <c r="F31" s="325">
        <v>30000</v>
      </c>
      <c r="G31" s="325">
        <v>30000</v>
      </c>
      <c r="H31" s="326">
        <v>30000</v>
      </c>
    </row>
    <row r="32" spans="2:8" x14ac:dyDescent="0.25">
      <c r="B32" s="316" t="s">
        <v>238</v>
      </c>
      <c r="C32" s="263" t="s">
        <v>295</v>
      </c>
      <c r="D32" s="325">
        <v>30000</v>
      </c>
      <c r="E32" s="325"/>
      <c r="F32" s="325">
        <v>5000</v>
      </c>
      <c r="G32" s="325">
        <v>10000</v>
      </c>
      <c r="H32" s="326">
        <v>15000</v>
      </c>
    </row>
    <row r="33" spans="2:8" ht="15.75" thickBot="1" x14ac:dyDescent="0.3">
      <c r="B33" s="316" t="s">
        <v>238</v>
      </c>
      <c r="C33" s="263" t="s">
        <v>294</v>
      </c>
      <c r="D33" s="325">
        <v>35000</v>
      </c>
      <c r="E33" s="325">
        <v>5000</v>
      </c>
      <c r="F33" s="325">
        <v>15000</v>
      </c>
      <c r="G33" s="325">
        <v>15000</v>
      </c>
      <c r="H33" s="326">
        <v>0</v>
      </c>
    </row>
    <row r="34" spans="2:8" ht="15.75" thickBot="1" x14ac:dyDescent="0.3">
      <c r="B34" s="312"/>
      <c r="C34" s="309" t="s">
        <v>293</v>
      </c>
      <c r="D34" s="313"/>
      <c r="E34" s="310">
        <f>SUM(E26:E33)</f>
        <v>49000</v>
      </c>
      <c r="F34" s="310">
        <f>SUM(F26:F33)</f>
        <v>97000</v>
      </c>
      <c r="G34" s="310">
        <f>SUM(G26:G33)</f>
        <v>89000</v>
      </c>
      <c r="H34" s="311">
        <f>SUM(H26:H33)</f>
        <v>70000</v>
      </c>
    </row>
    <row r="35" spans="2:8" x14ac:dyDescent="0.25">
      <c r="B35" s="263"/>
      <c r="C35" s="329"/>
      <c r="D35" s="325"/>
      <c r="E35" s="330"/>
      <c r="F35" s="330"/>
      <c r="G35" s="330"/>
      <c r="H35" s="330"/>
    </row>
    <row r="36" spans="2:8" s="263" customFormat="1" ht="15.75" thickBot="1" x14ac:dyDescent="0.3">
      <c r="D36" s="325"/>
      <c r="E36" s="325"/>
      <c r="F36" s="325"/>
      <c r="G36" s="325"/>
      <c r="H36" s="325"/>
    </row>
    <row r="37" spans="2:8" s="305" customFormat="1" ht="31.5" customHeight="1" thickBot="1" x14ac:dyDescent="0.3">
      <c r="B37" s="353"/>
      <c r="C37" s="331" t="s">
        <v>296</v>
      </c>
      <c r="D37" s="354"/>
      <c r="E37" s="354">
        <f>+E19+E34</f>
        <v>225200</v>
      </c>
      <c r="F37" s="354">
        <f>+F19+F34</f>
        <v>198200</v>
      </c>
      <c r="G37" s="354">
        <f>+G19+G34</f>
        <v>107350</v>
      </c>
      <c r="H37" s="355">
        <f>+H19+H34</f>
        <v>79500</v>
      </c>
    </row>
  </sheetData>
  <mergeCells count="3">
    <mergeCell ref="B4:C4"/>
    <mergeCell ref="B24:C24"/>
    <mergeCell ref="B2:C2"/>
  </mergeCells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workbookViewId="0"/>
  </sheetViews>
  <sheetFormatPr baseColWidth="10" defaultRowHeight="15" x14ac:dyDescent="0.25"/>
  <cols>
    <col min="1" max="1" width="2.42578125" customWidth="1"/>
    <col min="2" max="2" width="28.42578125" bestFit="1" customWidth="1"/>
    <col min="3" max="3" width="64.42578125" customWidth="1"/>
    <col min="4" max="4" width="16.28515625" bestFit="1" customWidth="1"/>
    <col min="5" max="8" width="8.28515625" bestFit="1" customWidth="1"/>
  </cols>
  <sheetData>
    <row r="1" spans="2:8" ht="15.75" thickBot="1" x14ac:dyDescent="0.3"/>
    <row r="2" spans="2:8" ht="19.5" thickBot="1" x14ac:dyDescent="0.35">
      <c r="B2" s="466" t="s">
        <v>312</v>
      </c>
      <c r="C2" s="467"/>
      <c r="D2" s="317">
        <f>+E21+F21+G21+H21</f>
        <v>1071400</v>
      </c>
      <c r="E2" s="318"/>
      <c r="F2" s="318"/>
      <c r="G2" s="318"/>
      <c r="H2" s="319"/>
    </row>
    <row r="3" spans="2:8" s="292" customFormat="1" ht="18" customHeight="1" thickBot="1" x14ac:dyDescent="0.35">
      <c r="B3" s="340"/>
      <c r="C3" s="340"/>
      <c r="D3" s="341"/>
      <c r="E3" s="342"/>
      <c r="F3" s="342"/>
      <c r="G3" s="342"/>
      <c r="H3" s="342"/>
    </row>
    <row r="4" spans="2:8" ht="18.75" x14ac:dyDescent="0.3">
      <c r="B4" s="468" t="s">
        <v>311</v>
      </c>
      <c r="C4" s="469"/>
      <c r="D4" s="338"/>
      <c r="E4" s="338"/>
      <c r="F4" s="338"/>
      <c r="G4" s="338"/>
      <c r="H4" s="339"/>
    </row>
    <row r="5" spans="2:8" x14ac:dyDescent="0.25">
      <c r="B5" s="320" t="s">
        <v>327</v>
      </c>
      <c r="C5" s="321" t="s">
        <v>290</v>
      </c>
      <c r="D5" s="322" t="s">
        <v>287</v>
      </c>
      <c r="E5" s="323" t="s">
        <v>218</v>
      </c>
      <c r="F5" s="323" t="s">
        <v>219</v>
      </c>
      <c r="G5" s="323" t="s">
        <v>220</v>
      </c>
      <c r="H5" s="324" t="s">
        <v>272</v>
      </c>
    </row>
    <row r="6" spans="2:8" x14ac:dyDescent="0.25">
      <c r="B6" s="316" t="s">
        <v>347</v>
      </c>
      <c r="C6" s="263" t="s">
        <v>246</v>
      </c>
      <c r="D6" s="325">
        <v>270000</v>
      </c>
      <c r="E6" s="325">
        <v>10000</v>
      </c>
      <c r="F6" s="325">
        <v>62000</v>
      </c>
      <c r="G6" s="325">
        <v>100000</v>
      </c>
      <c r="H6" s="326">
        <v>92400</v>
      </c>
    </row>
    <row r="7" spans="2:8" x14ac:dyDescent="0.25">
      <c r="B7" s="316" t="s">
        <v>289</v>
      </c>
      <c r="C7" s="263" t="s">
        <v>348</v>
      </c>
      <c r="D7" s="325">
        <v>286000</v>
      </c>
      <c r="E7" s="325">
        <v>5000</v>
      </c>
      <c r="F7" s="325">
        <v>10000</v>
      </c>
      <c r="G7" s="325">
        <v>105000</v>
      </c>
      <c r="H7" s="326">
        <v>105000</v>
      </c>
    </row>
    <row r="8" spans="2:8" x14ac:dyDescent="0.25">
      <c r="B8" s="316" t="s">
        <v>289</v>
      </c>
      <c r="C8" s="263" t="s">
        <v>9</v>
      </c>
      <c r="D8" s="325">
        <v>26400</v>
      </c>
      <c r="E8" s="325">
        <v>11200</v>
      </c>
      <c r="F8" s="325">
        <v>0</v>
      </c>
      <c r="G8" s="325" t="s">
        <v>239</v>
      </c>
      <c r="H8" s="326" t="s">
        <v>239</v>
      </c>
    </row>
    <row r="9" spans="2:8" x14ac:dyDescent="0.25">
      <c r="B9" s="316" t="s">
        <v>289</v>
      </c>
      <c r="C9" s="263" t="s">
        <v>139</v>
      </c>
      <c r="D9" s="325">
        <v>27000</v>
      </c>
      <c r="E9" s="325">
        <v>12000</v>
      </c>
      <c r="F9" s="325"/>
      <c r="G9" s="325"/>
      <c r="H9" s="326"/>
    </row>
    <row r="10" spans="2:8" x14ac:dyDescent="0.25">
      <c r="B10" s="316" t="s">
        <v>289</v>
      </c>
      <c r="C10" s="263" t="s">
        <v>349</v>
      </c>
      <c r="D10" s="325">
        <v>210000</v>
      </c>
      <c r="E10" s="325">
        <v>5000</v>
      </c>
      <c r="F10" s="325">
        <v>10000</v>
      </c>
      <c r="G10" s="325">
        <v>40000</v>
      </c>
      <c r="H10" s="326">
        <v>100000</v>
      </c>
    </row>
    <row r="11" spans="2:8" x14ac:dyDescent="0.25">
      <c r="B11" s="316" t="s">
        <v>289</v>
      </c>
      <c r="C11" s="263" t="s">
        <v>248</v>
      </c>
      <c r="D11" s="325">
        <v>25000</v>
      </c>
      <c r="E11" s="325">
        <v>12500</v>
      </c>
      <c r="F11" s="325">
        <v>12500</v>
      </c>
      <c r="G11" s="325"/>
      <c r="H11" s="326"/>
    </row>
    <row r="12" spans="2:8" x14ac:dyDescent="0.25">
      <c r="B12" s="316" t="s">
        <v>289</v>
      </c>
      <c r="C12" s="263" t="s">
        <v>280</v>
      </c>
      <c r="D12" s="325">
        <v>185000</v>
      </c>
      <c r="E12" s="325">
        <v>3000</v>
      </c>
      <c r="F12" s="325">
        <v>8000</v>
      </c>
      <c r="G12" s="325">
        <v>40000</v>
      </c>
      <c r="H12" s="326">
        <v>94000</v>
      </c>
    </row>
    <row r="13" spans="2:8" x14ac:dyDescent="0.25">
      <c r="B13" s="316" t="s">
        <v>289</v>
      </c>
      <c r="C13" s="263" t="s">
        <v>165</v>
      </c>
      <c r="D13" s="325">
        <v>196000</v>
      </c>
      <c r="E13" s="325"/>
      <c r="F13" s="325"/>
      <c r="G13" s="325">
        <v>2000</v>
      </c>
      <c r="H13" s="326">
        <v>50000</v>
      </c>
    </row>
    <row r="14" spans="2:8" x14ac:dyDescent="0.25">
      <c r="B14" s="316" t="s">
        <v>289</v>
      </c>
      <c r="C14" s="263" t="s">
        <v>245</v>
      </c>
      <c r="D14" s="325">
        <v>40500</v>
      </c>
      <c r="E14" s="325">
        <v>17400</v>
      </c>
      <c r="F14" s="325">
        <v>0</v>
      </c>
      <c r="G14" s="325">
        <v>0</v>
      </c>
      <c r="H14" s="326">
        <v>0</v>
      </c>
    </row>
    <row r="15" spans="2:8" x14ac:dyDescent="0.25">
      <c r="B15" s="316" t="s">
        <v>289</v>
      </c>
      <c r="C15" s="263" t="s">
        <v>244</v>
      </c>
      <c r="D15" s="325">
        <v>134000</v>
      </c>
      <c r="E15" s="325">
        <v>26500</v>
      </c>
      <c r="F15" s="325">
        <v>51000</v>
      </c>
      <c r="G15" s="325">
        <v>50000</v>
      </c>
      <c r="H15" s="326" t="s">
        <v>239</v>
      </c>
    </row>
    <row r="16" spans="2:8" x14ac:dyDescent="0.25">
      <c r="B16" s="316" t="s">
        <v>289</v>
      </c>
      <c r="C16" s="263" t="s">
        <v>136</v>
      </c>
      <c r="D16" s="325">
        <v>11000</v>
      </c>
      <c r="E16" s="325">
        <v>10900</v>
      </c>
      <c r="F16" s="325">
        <v>0</v>
      </c>
      <c r="G16" s="325">
        <v>0</v>
      </c>
      <c r="H16" s="326">
        <v>0</v>
      </c>
    </row>
    <row r="17" spans="2:8" x14ac:dyDescent="0.25">
      <c r="B17" s="316" t="s">
        <v>346</v>
      </c>
      <c r="C17" s="263" t="s">
        <v>12</v>
      </c>
      <c r="D17" s="325"/>
      <c r="E17" s="325">
        <v>2500</v>
      </c>
      <c r="F17" s="325">
        <v>2500</v>
      </c>
      <c r="G17" s="325">
        <v>2500</v>
      </c>
      <c r="H17" s="326">
        <v>2500</v>
      </c>
    </row>
    <row r="18" spans="2:8" x14ac:dyDescent="0.25">
      <c r="B18" s="316" t="s">
        <v>289</v>
      </c>
      <c r="C18" s="263" t="s">
        <v>13</v>
      </c>
      <c r="D18" s="325"/>
      <c r="E18" s="325">
        <v>2500</v>
      </c>
      <c r="F18" s="325">
        <v>2500</v>
      </c>
      <c r="G18" s="325">
        <v>2500</v>
      </c>
      <c r="H18" s="326">
        <v>2500</v>
      </c>
    </row>
    <row r="19" spans="2:8" x14ac:dyDescent="0.25">
      <c r="B19" s="316" t="s">
        <v>289</v>
      </c>
      <c r="C19" s="263" t="s">
        <v>205</v>
      </c>
      <c r="D19" s="325"/>
      <c r="E19" s="325">
        <v>2000</v>
      </c>
      <c r="F19" s="325">
        <v>2000</v>
      </c>
      <c r="G19" s="325">
        <v>2000</v>
      </c>
      <c r="H19" s="326">
        <v>0</v>
      </c>
    </row>
    <row r="20" spans="2:8" ht="15.75" thickBot="1" x14ac:dyDescent="0.3">
      <c r="B20" s="316" t="s">
        <v>285</v>
      </c>
      <c r="C20" s="263" t="s">
        <v>258</v>
      </c>
      <c r="D20" s="325"/>
      <c r="E20" s="325"/>
      <c r="F20" s="325"/>
      <c r="G20" s="325"/>
      <c r="H20" s="326"/>
    </row>
    <row r="21" spans="2:8" ht="15.75" thickBot="1" x14ac:dyDescent="0.3">
      <c r="B21" s="308"/>
      <c r="C21" s="309" t="s">
        <v>310</v>
      </c>
      <c r="D21" s="310"/>
      <c r="E21" s="310">
        <f>SUM(E6:E20)</f>
        <v>120500</v>
      </c>
      <c r="F21" s="310">
        <f>SUM(F6:F20)</f>
        <v>160500</v>
      </c>
      <c r="G21" s="310">
        <f>SUM(G6:G20)</f>
        <v>344000</v>
      </c>
      <c r="H21" s="311">
        <f>SUM(H6:H20)</f>
        <v>446400</v>
      </c>
    </row>
  </sheetData>
  <mergeCells count="2">
    <mergeCell ref="B4:C4"/>
    <mergeCell ref="B2:C2"/>
  </mergeCells>
  <pageMargins left="0.7" right="0.7" top="0.75" bottom="0.75" header="0.3" footer="0.3"/>
  <pageSetup paperSize="9" scale="90" orientation="landscape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showGridLines="0" workbookViewId="0">
      <selection activeCell="F27" sqref="F27"/>
    </sheetView>
  </sheetViews>
  <sheetFormatPr baseColWidth="10" defaultRowHeight="15" x14ac:dyDescent="0.25"/>
  <cols>
    <col min="1" max="1" width="3" customWidth="1"/>
    <col min="2" max="2" width="14.5703125" bestFit="1" customWidth="1"/>
    <col min="3" max="3" width="64.85546875" bestFit="1" customWidth="1"/>
    <col min="4" max="4" width="16.28515625" bestFit="1" customWidth="1"/>
    <col min="5" max="8" width="8.28515625" customWidth="1"/>
  </cols>
  <sheetData>
    <row r="1" spans="2:8" ht="8.25" customHeight="1" x14ac:dyDescent="0.25"/>
    <row r="2" spans="2:8" ht="18.75" x14ac:dyDescent="0.3">
      <c r="B2" s="474" t="s">
        <v>314</v>
      </c>
      <c r="C2" s="474"/>
      <c r="D2" s="380">
        <f>+E16+F16+G16+H16</f>
        <v>295300</v>
      </c>
      <c r="E2" s="381"/>
      <c r="F2" s="381"/>
      <c r="G2" s="381"/>
      <c r="H2" s="381"/>
    </row>
    <row r="3" spans="2:8" ht="18.75" x14ac:dyDescent="0.3">
      <c r="B3" s="340"/>
      <c r="C3" s="340"/>
      <c r="D3" s="341"/>
      <c r="E3" s="342"/>
      <c r="F3" s="342"/>
      <c r="G3" s="342"/>
      <c r="H3" s="342"/>
    </row>
    <row r="4" spans="2:8" ht="18.75" x14ac:dyDescent="0.3">
      <c r="B4" s="471" t="s">
        <v>315</v>
      </c>
      <c r="C4" s="471"/>
      <c r="D4" s="382"/>
      <c r="E4" s="382"/>
      <c r="F4" s="382"/>
      <c r="G4" s="382"/>
      <c r="H4" s="382"/>
    </row>
    <row r="5" spans="2:8" x14ac:dyDescent="0.25">
      <c r="B5" s="321" t="s">
        <v>327</v>
      </c>
      <c r="C5" s="321" t="s">
        <v>290</v>
      </c>
      <c r="D5" s="322" t="s">
        <v>287</v>
      </c>
      <c r="E5" s="323" t="s">
        <v>218</v>
      </c>
      <c r="F5" s="323" t="s">
        <v>219</v>
      </c>
      <c r="G5" s="323" t="s">
        <v>220</v>
      </c>
      <c r="H5" s="323" t="s">
        <v>272</v>
      </c>
    </row>
    <row r="6" spans="2:8" x14ac:dyDescent="0.25">
      <c r="B6" s="263" t="s">
        <v>289</v>
      </c>
      <c r="C6" s="263" t="s">
        <v>169</v>
      </c>
      <c r="D6" s="325">
        <v>36000</v>
      </c>
      <c r="E6" s="325">
        <v>25000</v>
      </c>
      <c r="F6" s="325">
        <v>7500</v>
      </c>
      <c r="G6" s="325"/>
      <c r="H6" s="325"/>
    </row>
    <row r="7" spans="2:8" x14ac:dyDescent="0.25">
      <c r="B7" s="263" t="s">
        <v>289</v>
      </c>
      <c r="C7" s="263" t="s">
        <v>168</v>
      </c>
      <c r="D7" s="325">
        <v>47000</v>
      </c>
      <c r="E7" s="325">
        <v>3000</v>
      </c>
      <c r="F7" s="325">
        <v>21000</v>
      </c>
      <c r="G7" s="325">
        <v>20000</v>
      </c>
      <c r="H7" s="325"/>
    </row>
    <row r="8" spans="2:8" x14ac:dyDescent="0.25">
      <c r="B8" s="263" t="s">
        <v>289</v>
      </c>
      <c r="C8" s="263" t="s">
        <v>170</v>
      </c>
      <c r="D8" s="325">
        <v>45000</v>
      </c>
      <c r="E8" s="325">
        <v>12000</v>
      </c>
      <c r="F8" s="325">
        <v>18000</v>
      </c>
      <c r="G8" s="325">
        <v>3800</v>
      </c>
      <c r="H8" s="325" t="s">
        <v>239</v>
      </c>
    </row>
    <row r="9" spans="2:8" x14ac:dyDescent="0.25">
      <c r="B9" s="263" t="s">
        <v>289</v>
      </c>
      <c r="C9" s="263" t="s">
        <v>141</v>
      </c>
      <c r="D9" s="325">
        <v>20000</v>
      </c>
      <c r="E9" s="325">
        <v>0</v>
      </c>
      <c r="F9" s="325">
        <v>2000</v>
      </c>
      <c r="G9" s="325">
        <v>15000</v>
      </c>
      <c r="H9" s="325">
        <v>3000</v>
      </c>
    </row>
    <row r="10" spans="2:8" x14ac:dyDescent="0.25">
      <c r="B10" s="263" t="s">
        <v>289</v>
      </c>
      <c r="C10" s="263" t="s">
        <v>16</v>
      </c>
      <c r="D10" s="325">
        <v>0</v>
      </c>
      <c r="E10" s="325">
        <v>2000</v>
      </c>
      <c r="F10" s="325">
        <v>2000</v>
      </c>
      <c r="G10" s="325">
        <v>2000</v>
      </c>
      <c r="H10" s="325">
        <v>2000</v>
      </c>
    </row>
    <row r="11" spans="2:8" x14ac:dyDescent="0.25">
      <c r="B11" s="263" t="s">
        <v>289</v>
      </c>
      <c r="C11" s="263" t="s">
        <v>17</v>
      </c>
      <c r="D11" s="325">
        <v>0</v>
      </c>
      <c r="E11" s="325">
        <v>1000</v>
      </c>
      <c r="F11" s="325">
        <v>2000</v>
      </c>
      <c r="G11" s="325">
        <v>1000</v>
      </c>
      <c r="H11" s="325">
        <v>1000</v>
      </c>
    </row>
    <row r="12" spans="2:8" x14ac:dyDescent="0.25">
      <c r="B12" s="263" t="s">
        <v>285</v>
      </c>
      <c r="C12" s="263" t="s">
        <v>279</v>
      </c>
      <c r="D12" s="325">
        <v>12000</v>
      </c>
      <c r="E12" s="325">
        <v>6000</v>
      </c>
      <c r="F12" s="325">
        <v>6000</v>
      </c>
      <c r="G12" s="325"/>
      <c r="H12" s="325"/>
    </row>
    <row r="13" spans="2:8" x14ac:dyDescent="0.25">
      <c r="B13" s="263" t="s">
        <v>285</v>
      </c>
      <c r="C13" s="263" t="s">
        <v>249</v>
      </c>
      <c r="D13" s="325">
        <v>60000</v>
      </c>
      <c r="E13" s="325" t="s">
        <v>239</v>
      </c>
      <c r="F13" s="325">
        <v>1000</v>
      </c>
      <c r="G13" s="325">
        <v>20000</v>
      </c>
      <c r="H13" s="325">
        <v>39000</v>
      </c>
    </row>
    <row r="14" spans="2:8" x14ac:dyDescent="0.25">
      <c r="B14" s="263" t="s">
        <v>285</v>
      </c>
      <c r="C14" s="263" t="s">
        <v>257</v>
      </c>
      <c r="D14" s="325">
        <v>50000</v>
      </c>
      <c r="E14" s="325" t="s">
        <v>239</v>
      </c>
      <c r="F14" s="325">
        <v>1000</v>
      </c>
      <c r="G14" s="325">
        <v>20000</v>
      </c>
      <c r="H14" s="325">
        <v>29000</v>
      </c>
    </row>
    <row r="15" spans="2:8" ht="15.75" thickBot="1" x14ac:dyDescent="0.3">
      <c r="B15" s="263" t="s">
        <v>285</v>
      </c>
      <c r="C15" s="263" t="s">
        <v>437</v>
      </c>
      <c r="D15" s="325">
        <v>30000</v>
      </c>
      <c r="E15" s="325">
        <v>5000</v>
      </c>
      <c r="F15" s="325">
        <v>5000</v>
      </c>
      <c r="G15" s="325">
        <v>10000</v>
      </c>
      <c r="H15" s="325">
        <v>10000</v>
      </c>
    </row>
    <row r="16" spans="2:8" x14ac:dyDescent="0.25">
      <c r="B16" s="333"/>
      <c r="C16" s="333" t="s">
        <v>319</v>
      </c>
      <c r="D16" s="334"/>
      <c r="E16" s="334">
        <f>SUM(E6:E15)</f>
        <v>54000</v>
      </c>
      <c r="F16" s="334">
        <f>SUM(F6:F15)</f>
        <v>65500</v>
      </c>
      <c r="G16" s="334">
        <f>SUM(G6:G15)</f>
        <v>91800</v>
      </c>
      <c r="H16" s="334">
        <f>SUM(H6:H15)</f>
        <v>84000</v>
      </c>
    </row>
  </sheetData>
  <mergeCells count="2">
    <mergeCell ref="B2:C2"/>
    <mergeCell ref="B4:C4"/>
  </mergeCells>
  <pageMargins left="0.7" right="0.7" top="0.75" bottom="0.75" header="0.3" footer="0.3"/>
  <pageSetup paperSize="9" scale="9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/>
  </sheetViews>
  <sheetFormatPr baseColWidth="10" defaultRowHeight="15" x14ac:dyDescent="0.25"/>
  <cols>
    <col min="1" max="1" width="2.140625" customWidth="1"/>
    <col min="2" max="2" width="28.42578125" bestFit="1" customWidth="1"/>
    <col min="3" max="3" width="72.5703125" customWidth="1"/>
    <col min="4" max="4" width="16.28515625" bestFit="1" customWidth="1"/>
    <col min="5" max="5" width="8.28515625" customWidth="1"/>
    <col min="6" max="6" width="8.28515625" bestFit="1" customWidth="1"/>
    <col min="7" max="8" width="7.28515625" customWidth="1"/>
  </cols>
  <sheetData>
    <row r="1" spans="2:8" ht="15.75" thickBot="1" x14ac:dyDescent="0.3"/>
    <row r="2" spans="2:8" ht="19.5" thickBot="1" x14ac:dyDescent="0.35">
      <c r="B2" s="466" t="s">
        <v>316</v>
      </c>
      <c r="C2" s="467"/>
      <c r="D2" s="317">
        <f>+E18+F18+G18+H18</f>
        <v>439300</v>
      </c>
      <c r="E2" s="318"/>
      <c r="F2" s="318"/>
      <c r="G2" s="318"/>
      <c r="H2" s="319"/>
    </row>
    <row r="3" spans="2:8" ht="19.5" thickBot="1" x14ac:dyDescent="0.35">
      <c r="B3" s="340"/>
      <c r="C3" s="340"/>
      <c r="D3" s="341"/>
      <c r="E3" s="342"/>
      <c r="F3" s="342"/>
      <c r="G3" s="342"/>
      <c r="H3" s="342"/>
    </row>
    <row r="4" spans="2:8" ht="18.75" x14ac:dyDescent="0.3">
      <c r="B4" s="468" t="s">
        <v>318</v>
      </c>
      <c r="C4" s="469"/>
      <c r="D4" s="338"/>
      <c r="E4" s="338"/>
      <c r="F4" s="338"/>
      <c r="G4" s="338"/>
      <c r="H4" s="339"/>
    </row>
    <row r="5" spans="2:8" x14ac:dyDescent="0.25">
      <c r="B5" s="320" t="s">
        <v>327</v>
      </c>
      <c r="C5" s="321" t="s">
        <v>290</v>
      </c>
      <c r="D5" s="322" t="s">
        <v>287</v>
      </c>
      <c r="E5" s="323" t="s">
        <v>218</v>
      </c>
      <c r="F5" s="323" t="s">
        <v>219</v>
      </c>
      <c r="G5" s="323" t="s">
        <v>220</v>
      </c>
      <c r="H5" s="324" t="s">
        <v>272</v>
      </c>
    </row>
    <row r="6" spans="2:8" x14ac:dyDescent="0.25">
      <c r="B6" s="316" t="s">
        <v>289</v>
      </c>
      <c r="C6" s="263" t="s">
        <v>25</v>
      </c>
      <c r="D6" s="325"/>
      <c r="E6" s="325">
        <v>500</v>
      </c>
      <c r="F6" s="325">
        <v>500</v>
      </c>
      <c r="G6" s="325">
        <v>500</v>
      </c>
      <c r="H6" s="326">
        <v>500</v>
      </c>
    </row>
    <row r="7" spans="2:8" x14ac:dyDescent="0.25">
      <c r="B7" s="316" t="s">
        <v>289</v>
      </c>
      <c r="C7" s="263" t="s">
        <v>143</v>
      </c>
      <c r="D7" s="325">
        <v>78000</v>
      </c>
      <c r="E7" s="325">
        <v>1000</v>
      </c>
      <c r="F7" s="325">
        <v>10000</v>
      </c>
      <c r="G7" s="325">
        <v>40000</v>
      </c>
      <c r="H7" s="326">
        <v>27000</v>
      </c>
    </row>
    <row r="8" spans="2:8" x14ac:dyDescent="0.25">
      <c r="B8" s="316" t="s">
        <v>289</v>
      </c>
      <c r="C8" s="263" t="s">
        <v>242</v>
      </c>
      <c r="D8" s="325">
        <v>40000</v>
      </c>
      <c r="E8" s="325">
        <v>15000</v>
      </c>
      <c r="F8" s="325">
        <v>20000</v>
      </c>
      <c r="G8" s="325"/>
      <c r="H8" s="326"/>
    </row>
    <row r="9" spans="2:8" x14ac:dyDescent="0.25">
      <c r="B9" s="316" t="s">
        <v>289</v>
      </c>
      <c r="C9" s="263" t="s">
        <v>183</v>
      </c>
      <c r="D9" s="325">
        <v>86000</v>
      </c>
      <c r="E9" s="325">
        <v>54800</v>
      </c>
      <c r="F9" s="325"/>
      <c r="G9" s="325"/>
      <c r="H9" s="326"/>
    </row>
    <row r="10" spans="2:8" x14ac:dyDescent="0.25">
      <c r="B10" s="316" t="s">
        <v>289</v>
      </c>
      <c r="C10" s="263" t="s">
        <v>281</v>
      </c>
      <c r="D10" s="325">
        <v>16000</v>
      </c>
      <c r="E10" s="325"/>
      <c r="F10" s="325"/>
      <c r="G10" s="325">
        <v>1500</v>
      </c>
      <c r="H10" s="326">
        <v>14500</v>
      </c>
    </row>
    <row r="11" spans="2:8" x14ac:dyDescent="0.25">
      <c r="B11" s="316" t="s">
        <v>347</v>
      </c>
      <c r="C11" s="263" t="s">
        <v>247</v>
      </c>
      <c r="D11" s="325">
        <v>54000</v>
      </c>
      <c r="E11" s="325">
        <v>500</v>
      </c>
      <c r="F11" s="325">
        <v>10000</v>
      </c>
      <c r="G11" s="325">
        <v>20000</v>
      </c>
      <c r="H11" s="326">
        <v>23000</v>
      </c>
    </row>
    <row r="12" spans="2:8" x14ac:dyDescent="0.25">
      <c r="B12" s="316" t="s">
        <v>346</v>
      </c>
      <c r="C12" s="263" t="s">
        <v>26</v>
      </c>
      <c r="D12" s="325"/>
      <c r="E12" s="325">
        <v>2000</v>
      </c>
      <c r="F12" s="325"/>
      <c r="G12" s="325"/>
      <c r="H12" s="326"/>
    </row>
    <row r="13" spans="2:8" x14ac:dyDescent="0.25">
      <c r="B13" s="316" t="s">
        <v>289</v>
      </c>
      <c r="C13" s="263" t="s">
        <v>27</v>
      </c>
      <c r="D13" s="325">
        <v>40000</v>
      </c>
      <c r="E13" s="325">
        <v>8400</v>
      </c>
      <c r="F13" s="325">
        <v>13000</v>
      </c>
      <c r="G13" s="325"/>
      <c r="H13" s="326"/>
    </row>
    <row r="14" spans="2:8" x14ac:dyDescent="0.25">
      <c r="B14" s="316" t="s">
        <v>289</v>
      </c>
      <c r="C14" s="263" t="s">
        <v>186</v>
      </c>
      <c r="D14" s="325">
        <v>33536</v>
      </c>
      <c r="E14" s="325"/>
      <c r="F14" s="325"/>
      <c r="G14" s="325"/>
      <c r="H14" s="326"/>
    </row>
    <row r="15" spans="2:8" x14ac:dyDescent="0.25">
      <c r="B15" s="316" t="s">
        <v>346</v>
      </c>
      <c r="C15" s="263" t="s">
        <v>31</v>
      </c>
      <c r="D15" s="325">
        <v>273900</v>
      </c>
      <c r="E15" s="325">
        <v>101000</v>
      </c>
      <c r="F15" s="325">
        <v>55600</v>
      </c>
      <c r="G15" s="325"/>
      <c r="H15" s="326"/>
    </row>
    <row r="16" spans="2:8" x14ac:dyDescent="0.25">
      <c r="B16" s="316" t="s">
        <v>285</v>
      </c>
      <c r="C16" s="263" t="s">
        <v>299</v>
      </c>
      <c r="D16" s="325"/>
      <c r="E16" s="325"/>
      <c r="F16" s="325"/>
      <c r="G16" s="325"/>
      <c r="H16" s="326"/>
    </row>
    <row r="17" spans="2:8" ht="15.75" thickBot="1" x14ac:dyDescent="0.3">
      <c r="B17" s="316" t="s">
        <v>285</v>
      </c>
      <c r="C17" s="263" t="s">
        <v>301</v>
      </c>
      <c r="D17" s="325"/>
      <c r="E17" s="325"/>
      <c r="F17" s="325"/>
      <c r="G17" s="325">
        <v>10000</v>
      </c>
      <c r="H17" s="326">
        <v>10000</v>
      </c>
    </row>
    <row r="18" spans="2:8" ht="15.75" thickBot="1" x14ac:dyDescent="0.3">
      <c r="B18" s="308"/>
      <c r="C18" s="309" t="s">
        <v>317</v>
      </c>
      <c r="D18" s="310"/>
      <c r="E18" s="313">
        <f>SUM(E6:E17)</f>
        <v>183200</v>
      </c>
      <c r="F18" s="313">
        <f>SUM(F6:F17)</f>
        <v>109100</v>
      </c>
      <c r="G18" s="313">
        <f>SUM(G6:G17)</f>
        <v>72000</v>
      </c>
      <c r="H18" s="343">
        <f>SUM(H6:H17)</f>
        <v>75000</v>
      </c>
    </row>
  </sheetData>
  <mergeCells count="2">
    <mergeCell ref="B2:C2"/>
    <mergeCell ref="B4:C4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SXVDUHSJUHCY-514347962-308</_dlc_DocId>
    <_dlc_DocIdUrl xmlns="c0871876-9314-4370-b5ed-4e2e644cc81d">
      <Url>http://sharepoint/steder/prosjektplassen/hop2013_2016/_layouts/15/DocIdRedir.aspx?ID=SXVDUHSJUHCY-514347962-308</Url>
      <Description>SXVDUHSJUHCY-514347962-308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9D279B7CF57F4483D7EA2B582B5FEA" ma:contentTypeVersion="0" ma:contentTypeDescription="Opprett et nytt dokument." ma:contentTypeScope="" ma:versionID="7d385a0cafb9db494a1f7034d4169039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E7199A-4402-478D-8D8B-15737FA5A24C}">
  <ds:schemaRefs>
    <ds:schemaRef ds:uri="c0871876-9314-4370-b5ed-4e2e644cc81d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484848-97B0-4622-AD32-4C56F6BFC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6269B7-3FCF-484D-9865-890D1D53F6E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9F6427A-E79F-4D04-8C29-D95868C67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BE13953-6F81-4999-ACE5-FC6CC49F695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Navngitte områder</vt:lpstr>
      </vt:variant>
      <vt:variant>
        <vt:i4>3</vt:i4>
      </vt:variant>
    </vt:vector>
  </HeadingPairs>
  <TitlesOfParts>
    <vt:vector size="20" baseType="lpstr">
      <vt:lpstr>2.Vedtatte endringer i bystyre</vt:lpstr>
      <vt:lpstr>Skjema 2B investeringer</vt:lpstr>
      <vt:lpstr>Nye tiltak</vt:lpstr>
      <vt:lpstr>1.Rådmannens forslag</vt:lpstr>
      <vt:lpstr>Div.bygg og inv.</vt:lpstr>
      <vt:lpstr>Levekår &amp; bolig KF</vt:lpstr>
      <vt:lpstr>Skole</vt:lpstr>
      <vt:lpstr>Barnehage</vt:lpstr>
      <vt:lpstr>Idrett</vt:lpstr>
      <vt:lpstr>Prak og vei</vt:lpstr>
      <vt:lpstr>VAR</vt:lpstr>
      <vt:lpstr>Kirkelig.fellesråd</vt:lpstr>
      <vt:lpstr>Bolig bygg KF</vt:lpstr>
      <vt:lpstr>SU-KF</vt:lpstr>
      <vt:lpstr>SU KF</vt:lpstr>
      <vt:lpstr>Endringer</vt:lpstr>
      <vt:lpstr>Ikke innarbeidet</vt:lpstr>
      <vt:lpstr>'1.Rådmannens forslag'!Utskriftsområde</vt:lpstr>
      <vt:lpstr>'Skjema 2B investeringer'!Utskriftsområde</vt:lpstr>
      <vt:lpstr>'1.Rådmannens forslag'!Utskriftstitler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Belma Covic</dc:creator>
  <cp:keywords/>
  <cp:lastModifiedBy>Sami U. Munawar</cp:lastModifiedBy>
  <cp:lastPrinted>2017-10-26T09:32:21Z</cp:lastPrinted>
  <dcterms:created xsi:type="dcterms:W3CDTF">2006-09-16T00:00:00Z</dcterms:created>
  <dcterms:modified xsi:type="dcterms:W3CDTF">2017-10-26T09:58:43Z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0x0101009B9D279B7CF57F4483D7EA2B582B5FEA</vt:lpwstr>
  </property>
  <property fmtid="{D5CDD505-2E9C-101B-9397-08002B2CF9AE}" pid="3" name="_dlc_DocIdItemGuid">
    <vt:lpwstr>52337be8-6902-431f-84c1-26d3805b6cab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